
<file path=[Content_Types].xml><?xml version="1.0" encoding="utf-8"?>
<Types xmlns="http://schemas.openxmlformats.org/package/2006/content-types">
  <Default Extension="emf" ContentType="image/x-emf"/>
  <Default Extension="jpeg" ContentType="image/jpeg"/>
  <Default Extension="jpg" ContentType="image/pn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media/image13.jpg" ContentType="image/jpeg"/>
  <Override PartName="/xl/media/image16.jpg" ContentType="image/jpeg"/>
  <Override PartName="/xl/media/image17.jpg" ContentType="image/jpeg"/>
  <Override PartName="/xl/media/image21.jpg" ContentType="image/jpeg"/>
  <Override PartName="/xl/media/image22.jpg" ContentType="image/jpeg"/>
  <Override PartName="/xl/media/image27.jpg" ContentType="image/jpeg"/>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tables/table2.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530"/>
  <workbookPr codeName="ThisWorkbook" hidePivotFieldList="1"/>
  <mc:AlternateContent xmlns:mc="http://schemas.openxmlformats.org/markup-compatibility/2006">
    <mc:Choice Requires="x15">
      <x15ac:absPath xmlns:x15ac="http://schemas.microsoft.com/office/spreadsheetml/2010/11/ac" url="D:\"/>
    </mc:Choice>
  </mc:AlternateContent>
  <xr:revisionPtr revIDLastSave="0" documentId="13_ncr:20001_{3EF75C00-DD00-4C1A-95CE-0AB68A7C7713}" xr6:coauthVersionLast="47" xr6:coauthVersionMax="47" xr10:uidLastSave="{00000000-0000-0000-0000-000000000000}"/>
  <bookViews>
    <workbookView xWindow="-110" yWindow="-110" windowWidth="19420" windowHeight="11500" firstSheet="2" activeTab="3" xr2:uid="{00000000-000D-0000-FFFF-FFFF00000000}"/>
  </bookViews>
  <sheets>
    <sheet name="Original _Video Game Data" sheetId="1" r:id="rId1"/>
    <sheet name="Cleaned - Video Game Data" sheetId="2" r:id="rId2"/>
    <sheet name="Pivot Tables" sheetId="3" r:id="rId3"/>
    <sheet name="Dashboard" sheetId="4" r:id="rId4"/>
    <sheet name="Change Log" sheetId="5" r:id="rId5"/>
    <sheet name="Regional Assumptions" sheetId="6" r:id="rId6"/>
  </sheets>
  <definedNames>
    <definedName name="Slicer_ActiveFlag">#N/A</definedName>
    <definedName name="Slicer_AsOfDate">#N/A</definedName>
    <definedName name="Slicer_Generation">#N/A</definedName>
    <definedName name="Slicer_IsHardwareEstimate">#N/A</definedName>
    <definedName name="Slicer_Manufacturer">#N/A</definedName>
    <definedName name="Slicer_SalesBasisType">#N/A</definedName>
  </definedNames>
  <calcPr calcId="191029"/>
  <pivotCaches>
    <pivotCache cacheId="33" r:id="rId7"/>
  </pivotCaches>
  <extLst>
    <ext xmlns:x14="http://schemas.microsoft.com/office/spreadsheetml/2009/9/main" uri="{BBE1A952-AA13-448e-AADC-164F8A28A991}">
      <x14:slicerCaches>
        <x14:slicerCache r:id="rId8"/>
        <x14:slicerCache r:id="rId9"/>
        <x14:slicerCache r:id="rId10"/>
        <x14:slicerCache r:id="rId11"/>
        <x14:slicerCache r:id="rId12"/>
        <x14:slicerCache r:id="rId13"/>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U12" i="3" l="1"/>
  <c r="L2" i="3"/>
  <c r="L3" i="3"/>
  <c r="L4" i="3"/>
  <c r="L5" i="3"/>
  <c r="L6" i="3"/>
  <c r="L7" i="3"/>
  <c r="L8" i="3"/>
  <c r="L9" i="3"/>
  <c r="L10" i="3"/>
  <c r="L11" i="3"/>
  <c r="L12" i="3"/>
  <c r="L13" i="3"/>
  <c r="L14" i="3"/>
  <c r="L15" i="3"/>
  <c r="L16" i="3"/>
  <c r="L17" i="3"/>
  <c r="L18" i="3"/>
  <c r="L19" i="3"/>
  <c r="L20" i="3"/>
  <c r="L21" i="3"/>
  <c r="L22" i="3"/>
  <c r="L23" i="3"/>
  <c r="L24" i="3"/>
  <c r="L25" i="3"/>
  <c r="L26" i="3"/>
  <c r="L27" i="3"/>
  <c r="L28" i="3"/>
  <c r="S12" i="3"/>
  <c r="Q12" i="3"/>
  <c r="E11" i="6"/>
  <c r="AK5" i="2" s="1"/>
  <c r="E10" i="6"/>
  <c r="AO26" i="2" s="1"/>
  <c r="E9" i="6"/>
  <c r="AS18" i="2" s="1"/>
  <c r="E8" i="6"/>
  <c r="AK21" i="2" s="1"/>
  <c r="H7" i="6"/>
  <c r="E7" i="6"/>
  <c r="AZ28" i="2"/>
  <c r="AY28" i="2"/>
  <c r="AX28" i="2"/>
  <c r="AV28" i="2"/>
  <c r="AU28" i="2"/>
  <c r="AT28" i="2"/>
  <c r="AR28" i="2"/>
  <c r="AQ28" i="2"/>
  <c r="AP28" i="2"/>
  <c r="AJ28" i="2"/>
  <c r="AI28" i="2"/>
  <c r="AH28" i="2"/>
  <c r="AG28" i="2"/>
  <c r="AF28" i="2"/>
  <c r="AD28" i="2"/>
  <c r="AE28" i="2" s="1"/>
  <c r="Z28" i="2"/>
  <c r="Y28" i="2"/>
  <c r="V28" i="2"/>
  <c r="W28" i="2" s="1"/>
  <c r="X28" i="2" s="1"/>
  <c r="R28" i="2"/>
  <c r="AZ27" i="2"/>
  <c r="AY27" i="2"/>
  <c r="AX27" i="2"/>
  <c r="AW27" i="2"/>
  <c r="AV27" i="2"/>
  <c r="AU27" i="2"/>
  <c r="AT27" i="2"/>
  <c r="AR27" i="2"/>
  <c r="AQ27" i="2"/>
  <c r="AP27" i="2"/>
  <c r="AO27" i="2"/>
  <c r="AN27" i="2"/>
  <c r="AM27" i="2"/>
  <c r="AL27" i="2"/>
  <c r="AK27" i="2"/>
  <c r="AJ27" i="2"/>
  <c r="AI27" i="2"/>
  <c r="AH27" i="2"/>
  <c r="AG27" i="2"/>
  <c r="AF27" i="2"/>
  <c r="AD27" i="2"/>
  <c r="AE27" i="2" s="1"/>
  <c r="AA27" i="2"/>
  <c r="Z27" i="2"/>
  <c r="Y27" i="2"/>
  <c r="V27" i="2"/>
  <c r="W27" i="2" s="1"/>
  <c r="X27" i="2" s="1"/>
  <c r="T27" i="2"/>
  <c r="R27" i="2"/>
  <c r="AZ26" i="2"/>
  <c r="AY26" i="2"/>
  <c r="AX26" i="2"/>
  <c r="AV26" i="2"/>
  <c r="AU26" i="2"/>
  <c r="AT26" i="2"/>
  <c r="AR26" i="2"/>
  <c r="AQ26" i="2"/>
  <c r="AP26" i="2"/>
  <c r="AN26" i="2"/>
  <c r="AM26" i="2"/>
  <c r="AL26" i="2"/>
  <c r="AJ26" i="2"/>
  <c r="AI26" i="2"/>
  <c r="AH26" i="2"/>
  <c r="AG26" i="2"/>
  <c r="AF26" i="2"/>
  <c r="AD26" i="2"/>
  <c r="AE26" i="2" s="1"/>
  <c r="AA26" i="2"/>
  <c r="Z26" i="2"/>
  <c r="Y26" i="2"/>
  <c r="V26" i="2"/>
  <c r="W26" i="2" s="1"/>
  <c r="X26" i="2" s="1"/>
  <c r="T26" i="2"/>
  <c r="R26" i="2"/>
  <c r="AZ25" i="2"/>
  <c r="AY25" i="2"/>
  <c r="AX25" i="2"/>
  <c r="AV25" i="2"/>
  <c r="AU25" i="2"/>
  <c r="AT25" i="2"/>
  <c r="AR25" i="2"/>
  <c r="AQ25" i="2"/>
  <c r="AP25" i="2"/>
  <c r="AO25" i="2"/>
  <c r="AN25" i="2"/>
  <c r="AM25" i="2"/>
  <c r="AL25" i="2"/>
  <c r="AJ25" i="2"/>
  <c r="AI25" i="2"/>
  <c r="AH25" i="2"/>
  <c r="AG25" i="2"/>
  <c r="AF25" i="2"/>
  <c r="AD25" i="2"/>
  <c r="AE25" i="2" s="1"/>
  <c r="AA25" i="2"/>
  <c r="Z25" i="2"/>
  <c r="Y25" i="2"/>
  <c r="V25" i="2"/>
  <c r="W25" i="2" s="1"/>
  <c r="X25" i="2" s="1"/>
  <c r="T25" i="2"/>
  <c r="R25" i="2"/>
  <c r="AZ24" i="2"/>
  <c r="AY24" i="2"/>
  <c r="AX24" i="2"/>
  <c r="AV24" i="2"/>
  <c r="AU24" i="2"/>
  <c r="AT24" i="2"/>
  <c r="AS24" i="2"/>
  <c r="AR24" i="2"/>
  <c r="AQ24" i="2"/>
  <c r="AP24" i="2"/>
  <c r="AN24" i="2"/>
  <c r="AM24" i="2"/>
  <c r="AL24" i="2"/>
  <c r="AJ24" i="2"/>
  <c r="AI24" i="2"/>
  <c r="AH24" i="2"/>
  <c r="AG24" i="2"/>
  <c r="AF24" i="2"/>
  <c r="AD24" i="2"/>
  <c r="AE24" i="2" s="1"/>
  <c r="AA24" i="2"/>
  <c r="Z24" i="2"/>
  <c r="Y24" i="2"/>
  <c r="V24" i="2"/>
  <c r="W24" i="2" s="1"/>
  <c r="X24" i="2" s="1"/>
  <c r="T24" i="2"/>
  <c r="R24" i="2"/>
  <c r="U24" i="2" s="1"/>
  <c r="AZ23" i="2"/>
  <c r="AY23" i="2"/>
  <c r="AX23" i="2"/>
  <c r="AV23" i="2"/>
  <c r="AU23" i="2"/>
  <c r="AT23" i="2"/>
  <c r="AR23" i="2"/>
  <c r="AQ23" i="2"/>
  <c r="AP23" i="2"/>
  <c r="AN23" i="2"/>
  <c r="AM23" i="2"/>
  <c r="AL23" i="2"/>
  <c r="AJ23" i="2"/>
  <c r="AI23" i="2"/>
  <c r="AH23" i="2"/>
  <c r="AG23" i="2"/>
  <c r="AF23" i="2"/>
  <c r="AD23" i="2"/>
  <c r="AE23" i="2" s="1"/>
  <c r="AA23" i="2"/>
  <c r="AB23" i="2" s="1"/>
  <c r="AC23" i="2" s="1"/>
  <c r="Z23" i="2"/>
  <c r="Y23" i="2"/>
  <c r="V23" i="2"/>
  <c r="W23" i="2" s="1"/>
  <c r="X23" i="2" s="1"/>
  <c r="T23" i="2"/>
  <c r="R23" i="2"/>
  <c r="U23" i="2" s="1"/>
  <c r="AZ22" i="2"/>
  <c r="AY22" i="2"/>
  <c r="AX22" i="2"/>
  <c r="AV22" i="2"/>
  <c r="AU22" i="2"/>
  <c r="AT22" i="2"/>
  <c r="AS22" i="2"/>
  <c r="AR22" i="2"/>
  <c r="AQ22" i="2"/>
  <c r="AP22" i="2"/>
  <c r="AN22" i="2"/>
  <c r="AM22" i="2"/>
  <c r="AL22" i="2"/>
  <c r="AJ22" i="2"/>
  <c r="AI22" i="2"/>
  <c r="AH22" i="2"/>
  <c r="AG22" i="2"/>
  <c r="AF22" i="2"/>
  <c r="AD22" i="2"/>
  <c r="AE22" i="2" s="1"/>
  <c r="AA22" i="2"/>
  <c r="Z22" i="2"/>
  <c r="Y22" i="2"/>
  <c r="V22" i="2"/>
  <c r="W22" i="2" s="1"/>
  <c r="X22" i="2" s="1"/>
  <c r="T22" i="2"/>
  <c r="R22" i="2"/>
  <c r="AZ21" i="2"/>
  <c r="AY21" i="2"/>
  <c r="AX21" i="2"/>
  <c r="AV21" i="2"/>
  <c r="AU21" i="2"/>
  <c r="AT21" i="2"/>
  <c r="AR21" i="2"/>
  <c r="AQ21" i="2"/>
  <c r="AP21" i="2"/>
  <c r="AN21" i="2"/>
  <c r="AM21" i="2"/>
  <c r="AL21" i="2"/>
  <c r="AJ21" i="2"/>
  <c r="AI21" i="2"/>
  <c r="AH21" i="2"/>
  <c r="AG21" i="2"/>
  <c r="AF21" i="2"/>
  <c r="AD21" i="2"/>
  <c r="AE21" i="2" s="1"/>
  <c r="AA21" i="2"/>
  <c r="Z21" i="2"/>
  <c r="Y21" i="2"/>
  <c r="V21" i="2"/>
  <c r="W21" i="2" s="1"/>
  <c r="X21" i="2" s="1"/>
  <c r="T21" i="2"/>
  <c r="R21" i="2"/>
  <c r="AZ20" i="2"/>
  <c r="AY20" i="2"/>
  <c r="AX20" i="2"/>
  <c r="AV20" i="2"/>
  <c r="AU20" i="2"/>
  <c r="AT20" i="2"/>
  <c r="AR20" i="2"/>
  <c r="AQ20" i="2"/>
  <c r="AP20" i="2"/>
  <c r="AN20" i="2"/>
  <c r="AM20" i="2"/>
  <c r="AL20" i="2"/>
  <c r="AJ20" i="2"/>
  <c r="AI20" i="2"/>
  <c r="AH20" i="2"/>
  <c r="AG20" i="2"/>
  <c r="AF20" i="2"/>
  <c r="AD20" i="2"/>
  <c r="AE20" i="2" s="1"/>
  <c r="AA20" i="2"/>
  <c r="Z20" i="2"/>
  <c r="Y20" i="2"/>
  <c r="V20" i="2"/>
  <c r="W20" i="2" s="1"/>
  <c r="X20" i="2" s="1"/>
  <c r="T20" i="2"/>
  <c r="R20" i="2"/>
  <c r="U20" i="2" s="1"/>
  <c r="AZ19" i="2"/>
  <c r="AY19" i="2"/>
  <c r="AX19" i="2"/>
  <c r="AV19" i="2"/>
  <c r="AU19" i="2"/>
  <c r="AT19" i="2"/>
  <c r="AR19" i="2"/>
  <c r="AQ19" i="2"/>
  <c r="AP19" i="2"/>
  <c r="AO19" i="2"/>
  <c r="AN19" i="2"/>
  <c r="AM19" i="2"/>
  <c r="AL19" i="2"/>
  <c r="AK19" i="2"/>
  <c r="AJ19" i="2"/>
  <c r="AI19" i="2"/>
  <c r="AH19" i="2"/>
  <c r="AG19" i="2"/>
  <c r="AF19" i="2"/>
  <c r="AD19" i="2"/>
  <c r="AE19" i="2" s="1"/>
  <c r="AA19" i="2"/>
  <c r="Z19" i="2"/>
  <c r="Y19" i="2"/>
  <c r="V19" i="2"/>
  <c r="W19" i="2" s="1"/>
  <c r="X19" i="2" s="1"/>
  <c r="T19" i="2"/>
  <c r="R19" i="2"/>
  <c r="AZ18" i="2"/>
  <c r="AY18" i="2"/>
  <c r="AX18" i="2"/>
  <c r="AV18" i="2"/>
  <c r="AU18" i="2"/>
  <c r="AT18" i="2"/>
  <c r="AR18" i="2"/>
  <c r="AQ18" i="2"/>
  <c r="AP18" i="2"/>
  <c r="AO18" i="2"/>
  <c r="AN18" i="2"/>
  <c r="AM18" i="2"/>
  <c r="AL18" i="2"/>
  <c r="AJ18" i="2"/>
  <c r="AI18" i="2"/>
  <c r="AH18" i="2"/>
  <c r="AG18" i="2"/>
  <c r="AF18" i="2"/>
  <c r="AD18" i="2"/>
  <c r="AE18" i="2" s="1"/>
  <c r="AA18" i="2"/>
  <c r="Z18" i="2"/>
  <c r="Y18" i="2"/>
  <c r="V18" i="2"/>
  <c r="W18" i="2" s="1"/>
  <c r="X18" i="2" s="1"/>
  <c r="T18" i="2"/>
  <c r="R18" i="2"/>
  <c r="U18" i="2" s="1"/>
  <c r="AZ17" i="2"/>
  <c r="AY17" i="2"/>
  <c r="AX17" i="2"/>
  <c r="AW17" i="2"/>
  <c r="AV17" i="2"/>
  <c r="AU17" i="2"/>
  <c r="AT17" i="2"/>
  <c r="AR17" i="2"/>
  <c r="AQ17" i="2"/>
  <c r="AP17" i="2"/>
  <c r="AN17" i="2"/>
  <c r="AM17" i="2"/>
  <c r="AL17" i="2"/>
  <c r="AJ17" i="2"/>
  <c r="AI17" i="2"/>
  <c r="AH17" i="2"/>
  <c r="AG17" i="2"/>
  <c r="AF17" i="2"/>
  <c r="AD17" i="2"/>
  <c r="AE17" i="2" s="1"/>
  <c r="AA17" i="2"/>
  <c r="Z17" i="2"/>
  <c r="Y17" i="2"/>
  <c r="V17" i="2"/>
  <c r="W17" i="2" s="1"/>
  <c r="X17" i="2" s="1"/>
  <c r="T17" i="2"/>
  <c r="R17" i="2"/>
  <c r="U17" i="2" s="1"/>
  <c r="AZ16" i="2"/>
  <c r="AY16" i="2"/>
  <c r="AX16" i="2"/>
  <c r="AW16" i="2"/>
  <c r="AV16" i="2"/>
  <c r="AU16" i="2"/>
  <c r="AT16" i="2"/>
  <c r="AS16" i="2"/>
  <c r="AR16" i="2"/>
  <c r="AQ16" i="2"/>
  <c r="AP16" i="2"/>
  <c r="AN16" i="2"/>
  <c r="AM16" i="2"/>
  <c r="AL16" i="2"/>
  <c r="AJ16" i="2"/>
  <c r="AI16" i="2"/>
  <c r="AH16" i="2"/>
  <c r="AG16" i="2"/>
  <c r="AF16" i="2"/>
  <c r="AD16" i="2"/>
  <c r="AE16" i="2" s="1"/>
  <c r="AA16" i="2"/>
  <c r="Z16" i="2"/>
  <c r="Y16" i="2"/>
  <c r="V16" i="2"/>
  <c r="W16" i="2" s="1"/>
  <c r="X16" i="2" s="1"/>
  <c r="T16" i="2"/>
  <c r="R16" i="2"/>
  <c r="AZ15" i="2"/>
  <c r="AY15" i="2"/>
  <c r="AX15" i="2"/>
  <c r="AW15" i="2"/>
  <c r="AV15" i="2"/>
  <c r="AU15" i="2"/>
  <c r="AT15" i="2"/>
  <c r="AS15" i="2"/>
  <c r="AR15" i="2"/>
  <c r="AQ15" i="2"/>
  <c r="AP15" i="2"/>
  <c r="AN15" i="2"/>
  <c r="AM15" i="2"/>
  <c r="AL15" i="2"/>
  <c r="AK15" i="2"/>
  <c r="AJ15" i="2"/>
  <c r="AI15" i="2"/>
  <c r="AH15" i="2"/>
  <c r="AG15" i="2"/>
  <c r="AF15" i="2"/>
  <c r="AD15" i="2"/>
  <c r="AE15" i="2" s="1"/>
  <c r="AA15" i="2"/>
  <c r="Z15" i="2"/>
  <c r="Y15" i="2"/>
  <c r="V15" i="2"/>
  <c r="W15" i="2" s="1"/>
  <c r="X15" i="2" s="1"/>
  <c r="T15" i="2"/>
  <c r="R15" i="2"/>
  <c r="AZ14" i="2"/>
  <c r="AY14" i="2"/>
  <c r="AX14" i="2"/>
  <c r="AW14" i="2"/>
  <c r="AV14" i="2"/>
  <c r="AU14" i="2"/>
  <c r="AT14" i="2"/>
  <c r="AS14" i="2"/>
  <c r="AR14" i="2"/>
  <c r="AQ14" i="2"/>
  <c r="AP14" i="2"/>
  <c r="AN14" i="2"/>
  <c r="AM14" i="2"/>
  <c r="AL14" i="2"/>
  <c r="AJ14" i="2"/>
  <c r="AI14" i="2"/>
  <c r="AH14" i="2"/>
  <c r="AG14" i="2"/>
  <c r="AF14" i="2"/>
  <c r="AD14" i="2"/>
  <c r="AE14" i="2" s="1"/>
  <c r="AA14" i="2"/>
  <c r="Z14" i="2"/>
  <c r="Y14" i="2"/>
  <c r="V14" i="2"/>
  <c r="W14" i="2" s="1"/>
  <c r="X14" i="2" s="1"/>
  <c r="T14" i="2"/>
  <c r="R14" i="2"/>
  <c r="AZ13" i="2"/>
  <c r="AY13" i="2"/>
  <c r="AX13" i="2"/>
  <c r="AW13" i="2"/>
  <c r="AV13" i="2"/>
  <c r="AU13" i="2"/>
  <c r="AT13" i="2"/>
  <c r="AR13" i="2"/>
  <c r="AQ13" i="2"/>
  <c r="AP13" i="2"/>
  <c r="AO13" i="2"/>
  <c r="AN13" i="2"/>
  <c r="AM13" i="2"/>
  <c r="AL13" i="2"/>
  <c r="AJ13" i="2"/>
  <c r="AI13" i="2"/>
  <c r="AH13" i="2"/>
  <c r="AG13" i="2"/>
  <c r="AF13" i="2"/>
  <c r="AD13" i="2"/>
  <c r="AE13" i="2" s="1"/>
  <c r="AA13" i="2"/>
  <c r="Z13" i="2"/>
  <c r="Y13" i="2"/>
  <c r="V13" i="2"/>
  <c r="W13" i="2" s="1"/>
  <c r="X13" i="2" s="1"/>
  <c r="T13" i="2"/>
  <c r="R13" i="2"/>
  <c r="AZ12" i="2"/>
  <c r="AY12" i="2"/>
  <c r="AX12" i="2"/>
  <c r="AV12" i="2"/>
  <c r="AU12" i="2"/>
  <c r="AT12" i="2"/>
  <c r="AR12" i="2"/>
  <c r="AQ12" i="2"/>
  <c r="AP12" i="2"/>
  <c r="AO12" i="2"/>
  <c r="AN12" i="2"/>
  <c r="AM12" i="2"/>
  <c r="AL12" i="2"/>
  <c r="AJ12" i="2"/>
  <c r="AI12" i="2"/>
  <c r="AH12" i="2"/>
  <c r="AG12" i="2"/>
  <c r="AF12" i="2"/>
  <c r="AD12" i="2"/>
  <c r="AE12" i="2" s="1"/>
  <c r="AA12" i="2"/>
  <c r="Z12" i="2"/>
  <c r="Y12" i="2"/>
  <c r="V12" i="2"/>
  <c r="W12" i="2" s="1"/>
  <c r="X12" i="2" s="1"/>
  <c r="T12" i="2"/>
  <c r="R12" i="2"/>
  <c r="AZ11" i="2"/>
  <c r="AY11" i="2"/>
  <c r="AX11" i="2"/>
  <c r="AV11" i="2"/>
  <c r="AU11" i="2"/>
  <c r="AT11" i="2"/>
  <c r="AR11" i="2"/>
  <c r="AQ11" i="2"/>
  <c r="AP11" i="2"/>
  <c r="AN11" i="2"/>
  <c r="AM11" i="2"/>
  <c r="AL11" i="2"/>
  <c r="AJ11" i="2"/>
  <c r="AI11" i="2"/>
  <c r="AH11" i="2"/>
  <c r="AG11" i="2"/>
  <c r="AF11" i="2"/>
  <c r="AD11" i="2"/>
  <c r="AE11" i="2" s="1"/>
  <c r="AA11" i="2"/>
  <c r="Z11" i="2"/>
  <c r="Y11" i="2"/>
  <c r="V11" i="2"/>
  <c r="W11" i="2" s="1"/>
  <c r="X11" i="2" s="1"/>
  <c r="T11" i="2"/>
  <c r="R11" i="2"/>
  <c r="AZ10" i="2"/>
  <c r="AY10" i="2"/>
  <c r="AX10" i="2"/>
  <c r="AV10" i="2"/>
  <c r="AU10" i="2"/>
  <c r="AT10" i="2"/>
  <c r="AR10" i="2"/>
  <c r="AQ10" i="2"/>
  <c r="AP10" i="2"/>
  <c r="AN10" i="2"/>
  <c r="AM10" i="2"/>
  <c r="AL10" i="2"/>
  <c r="AJ10" i="2"/>
  <c r="AI10" i="2"/>
  <c r="AH10" i="2"/>
  <c r="AG10" i="2"/>
  <c r="AF10" i="2"/>
  <c r="AD10" i="2"/>
  <c r="AE10" i="2" s="1"/>
  <c r="AA10" i="2"/>
  <c r="Z10" i="2"/>
  <c r="Y10" i="2"/>
  <c r="V10" i="2"/>
  <c r="W10" i="2" s="1"/>
  <c r="X10" i="2" s="1"/>
  <c r="T10" i="2"/>
  <c r="R10" i="2"/>
  <c r="AZ9" i="2"/>
  <c r="AY9" i="2"/>
  <c r="AX9" i="2"/>
  <c r="AV9" i="2"/>
  <c r="AU9" i="2"/>
  <c r="AT9" i="2"/>
  <c r="AR9" i="2"/>
  <c r="AQ9" i="2"/>
  <c r="AP9" i="2"/>
  <c r="AO9" i="2"/>
  <c r="AN9" i="2"/>
  <c r="AM9" i="2"/>
  <c r="AL9" i="2"/>
  <c r="AJ9" i="2"/>
  <c r="AI9" i="2"/>
  <c r="AH9" i="2"/>
  <c r="AG9" i="2"/>
  <c r="AF9" i="2"/>
  <c r="AD9" i="2"/>
  <c r="AE9" i="2" s="1"/>
  <c r="AA9" i="2"/>
  <c r="Z9" i="2"/>
  <c r="Y9" i="2"/>
  <c r="V9" i="2"/>
  <c r="W9" i="2" s="1"/>
  <c r="X9" i="2" s="1"/>
  <c r="T9" i="2"/>
  <c r="R9" i="2"/>
  <c r="AZ8" i="2"/>
  <c r="AY8" i="2"/>
  <c r="AX8" i="2"/>
  <c r="AV8" i="2"/>
  <c r="AU8" i="2"/>
  <c r="AT8" i="2"/>
  <c r="AR8" i="2"/>
  <c r="AQ8" i="2"/>
  <c r="AP8" i="2"/>
  <c r="AN8" i="2"/>
  <c r="AM8" i="2"/>
  <c r="AL8" i="2"/>
  <c r="AJ8" i="2"/>
  <c r="AI8" i="2"/>
  <c r="AH8" i="2"/>
  <c r="AG8" i="2"/>
  <c r="AF8" i="2"/>
  <c r="AD8" i="2"/>
  <c r="AE8" i="2" s="1"/>
  <c r="AA8" i="2"/>
  <c r="Z8" i="2"/>
  <c r="Y8" i="2"/>
  <c r="V8" i="2"/>
  <c r="W8" i="2" s="1"/>
  <c r="X8" i="2" s="1"/>
  <c r="T8" i="2"/>
  <c r="R8" i="2"/>
  <c r="AZ7" i="2"/>
  <c r="AY7" i="2"/>
  <c r="AX7" i="2"/>
  <c r="AV7" i="2"/>
  <c r="AU7" i="2"/>
  <c r="AT7" i="2"/>
  <c r="AR7" i="2"/>
  <c r="AQ7" i="2"/>
  <c r="AP7" i="2"/>
  <c r="AN7" i="2"/>
  <c r="AM7" i="2"/>
  <c r="AL7" i="2"/>
  <c r="AJ7" i="2"/>
  <c r="AI7" i="2"/>
  <c r="AH7" i="2"/>
  <c r="AG7" i="2"/>
  <c r="AF7" i="2"/>
  <c r="AD7" i="2"/>
  <c r="AE7" i="2" s="1"/>
  <c r="AA7" i="2"/>
  <c r="Z7" i="2"/>
  <c r="Y7" i="2"/>
  <c r="V7" i="2"/>
  <c r="W7" i="2" s="1"/>
  <c r="X7" i="2" s="1"/>
  <c r="T7" i="2"/>
  <c r="R7" i="2"/>
  <c r="AZ6" i="2"/>
  <c r="AY6" i="2"/>
  <c r="AX6" i="2"/>
  <c r="AV6" i="2"/>
  <c r="AU6" i="2"/>
  <c r="AT6" i="2"/>
  <c r="AS6" i="2"/>
  <c r="AR6" i="2"/>
  <c r="AQ6" i="2"/>
  <c r="AP6" i="2"/>
  <c r="AN6" i="2"/>
  <c r="AM6" i="2"/>
  <c r="AL6" i="2"/>
  <c r="AJ6" i="2"/>
  <c r="AI6" i="2"/>
  <c r="AH6" i="2"/>
  <c r="AG6" i="2"/>
  <c r="AF6" i="2"/>
  <c r="AD6" i="2"/>
  <c r="AE6" i="2" s="1"/>
  <c r="AA6" i="2"/>
  <c r="Z6" i="2"/>
  <c r="Y6" i="2"/>
  <c r="V6" i="2"/>
  <c r="W6" i="2" s="1"/>
  <c r="X6" i="2" s="1"/>
  <c r="T6" i="2"/>
  <c r="R6" i="2"/>
  <c r="AZ5" i="2"/>
  <c r="AY5" i="2"/>
  <c r="AX5" i="2"/>
  <c r="AV5" i="2"/>
  <c r="AU5" i="2"/>
  <c r="AT5" i="2"/>
  <c r="AR5" i="2"/>
  <c r="AQ5" i="2"/>
  <c r="AP5" i="2"/>
  <c r="AN5" i="2"/>
  <c r="AM5" i="2"/>
  <c r="AL5" i="2"/>
  <c r="AJ5" i="2"/>
  <c r="AI5" i="2"/>
  <c r="AH5" i="2"/>
  <c r="AG5" i="2"/>
  <c r="AF5" i="2"/>
  <c r="AD5" i="2"/>
  <c r="AE5" i="2" s="1"/>
  <c r="AA5" i="2"/>
  <c r="Z5" i="2"/>
  <c r="Y5" i="2"/>
  <c r="V5" i="2"/>
  <c r="W5" i="2" s="1"/>
  <c r="X5" i="2" s="1"/>
  <c r="T5" i="2"/>
  <c r="R5" i="2"/>
  <c r="AZ4" i="2"/>
  <c r="AY4" i="2"/>
  <c r="AX4" i="2"/>
  <c r="AW4" i="2"/>
  <c r="AV4" i="2"/>
  <c r="AU4" i="2"/>
  <c r="AT4" i="2"/>
  <c r="AR4" i="2"/>
  <c r="AQ4" i="2"/>
  <c r="AP4" i="2"/>
  <c r="AN4" i="2"/>
  <c r="AM4" i="2"/>
  <c r="AL4" i="2"/>
  <c r="AJ4" i="2"/>
  <c r="AI4" i="2"/>
  <c r="AH4" i="2"/>
  <c r="AG4" i="2"/>
  <c r="AF4" i="2"/>
  <c r="AD4" i="2"/>
  <c r="AE4" i="2" s="1"/>
  <c r="AA4" i="2"/>
  <c r="Z4" i="2"/>
  <c r="Y4" i="2"/>
  <c r="V4" i="2"/>
  <c r="W4" i="2" s="1"/>
  <c r="X4" i="2" s="1"/>
  <c r="T4" i="2"/>
  <c r="R4" i="2"/>
  <c r="AZ3" i="2"/>
  <c r="AY3" i="2"/>
  <c r="AX3" i="2"/>
  <c r="AV3" i="2"/>
  <c r="AU3" i="2"/>
  <c r="AT3" i="2"/>
  <c r="AR3" i="2"/>
  <c r="AQ3" i="2"/>
  <c r="AP3" i="2"/>
  <c r="AN3" i="2"/>
  <c r="AM3" i="2"/>
  <c r="AL3" i="2"/>
  <c r="AJ3" i="2"/>
  <c r="AI3" i="2"/>
  <c r="AH3" i="2"/>
  <c r="AG3" i="2"/>
  <c r="AF3" i="2"/>
  <c r="AD3" i="2"/>
  <c r="AE3" i="2" s="1"/>
  <c r="AA3" i="2"/>
  <c r="Z3" i="2"/>
  <c r="Y3" i="2"/>
  <c r="V3" i="2"/>
  <c r="W3" i="2" s="1"/>
  <c r="X3" i="2" s="1"/>
  <c r="T3" i="2"/>
  <c r="R3" i="2"/>
  <c r="U3" i="2" s="1"/>
  <c r="AZ2" i="2"/>
  <c r="AY2" i="2"/>
  <c r="AX2" i="2"/>
  <c r="AV2" i="2"/>
  <c r="AU2" i="2"/>
  <c r="AT2" i="2"/>
  <c r="AR2" i="2"/>
  <c r="AQ2" i="2"/>
  <c r="AP2" i="2"/>
  <c r="AO2" i="2"/>
  <c r="AN2" i="2"/>
  <c r="AM2" i="2"/>
  <c r="AL2" i="2"/>
  <c r="AK2" i="2"/>
  <c r="AJ2" i="2"/>
  <c r="AI2" i="2"/>
  <c r="AH2" i="2"/>
  <c r="AG2" i="2"/>
  <c r="AF2" i="2"/>
  <c r="AD2" i="2"/>
  <c r="AE2" i="2" s="1"/>
  <c r="AA2" i="2"/>
  <c r="Z2" i="2"/>
  <c r="Y2" i="2"/>
  <c r="V2" i="2"/>
  <c r="W2" i="2" s="1"/>
  <c r="X2" i="2" s="1"/>
  <c r="T2" i="2"/>
  <c r="R2" i="2"/>
  <c r="U11" i="2" l="1"/>
  <c r="AW20" i="2"/>
  <c r="AW24" i="2"/>
  <c r="AK26" i="2"/>
  <c r="U15" i="2"/>
  <c r="U25" i="2"/>
  <c r="AK28" i="2"/>
  <c r="AK3" i="2"/>
  <c r="U8" i="2"/>
  <c r="AK11" i="2"/>
  <c r="U12" i="2"/>
  <c r="AS25" i="2"/>
  <c r="AB16" i="2"/>
  <c r="AC16" i="2" s="1"/>
  <c r="U26" i="2"/>
  <c r="AB12" i="2"/>
  <c r="AC12" i="2" s="1"/>
  <c r="U19" i="2"/>
  <c r="AB27" i="2"/>
  <c r="AC27" i="2" s="1"/>
  <c r="U9" i="2"/>
  <c r="AW12" i="2"/>
  <c r="AK16" i="2"/>
  <c r="AB26" i="2"/>
  <c r="AC26" i="2" s="1"/>
  <c r="U5" i="2"/>
  <c r="U4" i="2"/>
  <c r="AK13" i="2"/>
  <c r="AK14" i="2"/>
  <c r="AB19" i="2"/>
  <c r="AC19" i="2" s="1"/>
  <c r="AO8" i="2"/>
  <c r="AK12" i="2"/>
  <c r="U22" i="2"/>
  <c r="AB9" i="2"/>
  <c r="AC9" i="2" s="1"/>
  <c r="AO11" i="2"/>
  <c r="AS10" i="2"/>
  <c r="AO20" i="2"/>
  <c r="AW23" i="2"/>
  <c r="AB2" i="2"/>
  <c r="AC2" i="2" s="1"/>
  <c r="AO4" i="2"/>
  <c r="AK6" i="2"/>
  <c r="AW7" i="2"/>
  <c r="U14" i="2"/>
  <c r="AK22" i="2"/>
  <c r="AS2" i="2"/>
  <c r="AB3" i="2"/>
  <c r="AC3" i="2" s="1"/>
  <c r="U6" i="2"/>
  <c r="AS11" i="2"/>
  <c r="AS19" i="2"/>
  <c r="AB20" i="2"/>
  <c r="AC20" i="2" s="1"/>
  <c r="AO21" i="2"/>
  <c r="AK23" i="2"/>
  <c r="AS4" i="2"/>
  <c r="AO6" i="2"/>
  <c r="AK8" i="2"/>
  <c r="AK9" i="2"/>
  <c r="U16" i="2"/>
  <c r="AK18" i="2"/>
  <c r="AO22" i="2"/>
  <c r="AS27" i="2"/>
  <c r="AW2" i="2"/>
  <c r="AB5" i="2"/>
  <c r="AC5" i="2" s="1"/>
  <c r="AK10" i="2"/>
  <c r="AW11" i="2"/>
  <c r="AS13" i="2"/>
  <c r="AO15" i="2"/>
  <c r="AO16" i="2"/>
  <c r="AW19" i="2"/>
  <c r="AS21" i="2"/>
  <c r="AO23" i="2"/>
  <c r="AK25" i="2"/>
  <c r="AS3" i="2"/>
  <c r="AO5" i="2"/>
  <c r="AK7" i="2"/>
  <c r="AW8" i="2"/>
  <c r="AW9" i="2"/>
  <c r="AK17" i="2"/>
  <c r="AW18" i="2"/>
  <c r="AK24" i="2"/>
  <c r="AS26" i="2"/>
  <c r="AW28" i="2"/>
  <c r="U7" i="2"/>
  <c r="AW10" i="2"/>
  <c r="AS12" i="2"/>
  <c r="AB13" i="2"/>
  <c r="AC13" i="2" s="1"/>
  <c r="AO14" i="2"/>
  <c r="AS20" i="2"/>
  <c r="AW25" i="2"/>
  <c r="AW3" i="2"/>
  <c r="AS5" i="2"/>
  <c r="AB6" i="2"/>
  <c r="AC6" i="2" s="1"/>
  <c r="AO7" i="2"/>
  <c r="U10" i="2"/>
  <c r="AO17" i="2"/>
  <c r="AO24" i="2"/>
  <c r="AW26" i="2"/>
  <c r="AO10" i="2"/>
  <c r="AK20" i="2"/>
  <c r="AW21" i="2"/>
  <c r="AS23" i="2"/>
  <c r="U2" i="2"/>
  <c r="AK4" i="2"/>
  <c r="AW5" i="2"/>
  <c r="AS7" i="2"/>
  <c r="AS17" i="2"/>
  <c r="U27" i="2"/>
  <c r="AO3" i="2"/>
  <c r="AW6" i="2"/>
  <c r="AS8" i="2"/>
  <c r="AS9" i="2"/>
  <c r="U13" i="2"/>
  <c r="U21" i="2"/>
  <c r="AW22" i="2"/>
  <c r="AS28" i="2"/>
  <c r="F11" i="6"/>
  <c r="AC15" i="2"/>
  <c r="AB17" i="2"/>
  <c r="AC17" i="2" s="1"/>
  <c r="AB24" i="2"/>
  <c r="AC24" i="2" s="1"/>
  <c r="AB10" i="2"/>
  <c r="AC10" i="2" s="1"/>
  <c r="AB15" i="2"/>
  <c r="AB8" i="2"/>
  <c r="AC8" i="2" s="1"/>
  <c r="AB22" i="2"/>
  <c r="AC22" i="2" s="1"/>
  <c r="AB4" i="2"/>
  <c r="AC4" i="2" s="1"/>
  <c r="AB11" i="2"/>
  <c r="AC11" i="2" s="1"/>
  <c r="AB18" i="2"/>
  <c r="AC18" i="2" s="1"/>
  <c r="AB25" i="2"/>
  <c r="AC25" i="2" s="1"/>
  <c r="F10" i="6"/>
  <c r="AB14" i="2"/>
  <c r="AC14" i="2" s="1"/>
  <c r="AB21" i="2"/>
  <c r="AC21" i="2" s="1"/>
  <c r="AB7" i="2"/>
  <c r="AC7" i="2" s="1"/>
  <c r="F8" i="6" l="1"/>
  <c r="L28" i="2" s="1"/>
  <c r="AO28" i="2" s="1"/>
  <c r="F9" i="6"/>
  <c r="F7" i="6"/>
  <c r="AN28" i="2" l="1"/>
  <c r="T28" i="2"/>
  <c r="U28" i="2" s="1"/>
  <c r="AL28" i="2"/>
  <c r="AM28" i="2"/>
  <c r="AA28" i="2"/>
  <c r="AB28" i="2"/>
  <c r="AC28" i="2"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7">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futureMetadata>
  <valueMetadata count="27">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valueMetadata>
</metadata>
</file>

<file path=xl/sharedStrings.xml><?xml version="1.0" encoding="utf-8"?>
<sst xmlns="http://schemas.openxmlformats.org/spreadsheetml/2006/main" count="1349" uniqueCount="662">
  <si>
    <t>Console Name</t>
  </si>
  <si>
    <t>Manufacturer</t>
  </si>
  <si>
    <t>Generation</t>
  </si>
  <si>
    <t>Release Date</t>
  </si>
  <si>
    <t>Title of Best-Selling Game</t>
  </si>
  <si>
    <t>Units Sold (Millions)</t>
  </si>
  <si>
    <t>Total Revenue</t>
  </si>
  <si>
    <t>Release Price</t>
  </si>
  <si>
    <t>Genre</t>
  </si>
  <si>
    <t>Region</t>
  </si>
  <si>
    <t>Developer/Publisher</t>
  </si>
  <si>
    <t>NES</t>
  </si>
  <si>
    <t>Nintendo</t>
  </si>
  <si>
    <t>3rd Gen</t>
  </si>
  <si>
    <t>Super Mario Bros.</t>
  </si>
  <si>
    <t>40.24M</t>
  </si>
  <si>
    <t>$1.9B (est.)</t>
  </si>
  <si>
    <t>Platformer</t>
  </si>
  <si>
    <t>NA</t>
  </si>
  <si>
    <t>Nintendo R&amp;D4 / Nintendo</t>
  </si>
  <si>
    <t>Nintendo Entertainment System</t>
  </si>
  <si>
    <t>Gen3</t>
  </si>
  <si>
    <t>Oct 18 '85</t>
  </si>
  <si>
    <t>USD 1,900,000,000</t>
  </si>
  <si>
    <t>49.99 USD</t>
  </si>
  <si>
    <t>Platform</t>
  </si>
  <si>
    <t>North America</t>
  </si>
  <si>
    <t>SNES</t>
  </si>
  <si>
    <t>4th Gen</t>
  </si>
  <si>
    <t>Super Mario World</t>
  </si>
  <si>
    <t>20M</t>
  </si>
  <si>
    <t>$1.1bn</t>
  </si>
  <si>
    <t>NA/EU</t>
  </si>
  <si>
    <t>Nintendo EAD; Nintendo</t>
  </si>
  <si>
    <t>Super Nintendo</t>
  </si>
  <si>
    <t>4th gen</t>
  </si>
  <si>
    <t>20.6 million</t>
  </si>
  <si>
    <t>~$1,236,000,000</t>
  </si>
  <si>
    <t>US$59.99</t>
  </si>
  <si>
    <t>Global</t>
  </si>
  <si>
    <t>Nintendo (dev/pubs)</t>
  </si>
  <si>
    <t>Nintendo 64</t>
  </si>
  <si>
    <t>5th Gen</t>
  </si>
  <si>
    <t>Super Mario 64</t>
  </si>
  <si>
    <t>11.9M</t>
  </si>
  <si>
    <t>Nintendo EAD / Nintendo</t>
  </si>
  <si>
    <t>N64</t>
  </si>
  <si>
    <t>5th gen</t>
  </si>
  <si>
    <t>Sep 29 '96</t>
  </si>
  <si>
    <t>715M USD</t>
  </si>
  <si>
    <t>N. America</t>
  </si>
  <si>
    <t>GameCube</t>
  </si>
  <si>
    <t>6th Gen</t>
  </si>
  <si>
    <t>Super Smash Bros. Melee</t>
  </si>
  <si>
    <t>7.4M</t>
  </si>
  <si>
    <t>Fighting</t>
  </si>
  <si>
    <t>HAL Laboratory / Nintendo</t>
  </si>
  <si>
    <t>GCN</t>
  </si>
  <si>
    <t>6th gen</t>
  </si>
  <si>
    <t>Nov 18 '01</t>
  </si>
  <si>
    <t>Super Smash Bros Melee</t>
  </si>
  <si>
    <t>7.41 m</t>
  </si>
  <si>
    <t>$0.37B</t>
  </si>
  <si>
    <t>USD49.99</t>
  </si>
  <si>
    <t>Fighter</t>
  </si>
  <si>
    <t>HAL Lab / Nintendo</t>
  </si>
  <si>
    <t>Wii</t>
  </si>
  <si>
    <t>7th Gen</t>
  </si>
  <si>
    <t>Wii Sports</t>
  </si>
  <si>
    <t>82.9M</t>
  </si>
  <si>
    <t>$3.3B</t>
  </si>
  <si>
    <t>Included</t>
  </si>
  <si>
    <t>Sports</t>
  </si>
  <si>
    <t>Wii U</t>
  </si>
  <si>
    <t>8th Gen</t>
  </si>
  <si>
    <t>Mario Kart 8</t>
  </si>
  <si>
    <t>8.46M</t>
  </si>
  <si>
    <t>Racing</t>
  </si>
  <si>
    <t>EU</t>
  </si>
  <si>
    <t>Nintendo WiiU</t>
  </si>
  <si>
    <t>Gen 8</t>
  </si>
  <si>
    <t>â‚¬390,000,000</t>
  </si>
  <si>
    <t>â‚¬59,99</t>
  </si>
  <si>
    <t>Racing/Party</t>
  </si>
  <si>
    <t>Europe</t>
  </si>
  <si>
    <t>Nintendo Switch</t>
  </si>
  <si>
    <t>Mario Kart 8 Deluxe</t>
  </si>
  <si>
    <t>60.0M</t>
  </si>
  <si>
    <t>Nintendo EPD / Nintendo</t>
  </si>
  <si>
    <t>Switch</t>
  </si>
  <si>
    <t>8th gen</t>
  </si>
  <si>
    <t>~60M</t>
  </si>
  <si>
    <t>3.6B USD</t>
  </si>
  <si>
    <t>Racing / Party</t>
  </si>
  <si>
    <t>WW</t>
  </si>
  <si>
    <t>Switch (OLED)</t>
  </si>
  <si>
    <t>N/A</t>
  </si>
  <si>
    <t>Game Boy</t>
  </si>
  <si>
    <t>Handheld (4th?)</t>
  </si>
  <si>
    <t>Tetris</t>
  </si>
  <si>
    <t>35M</t>
  </si>
  <si>
    <t>Puzzle</t>
  </si>
  <si>
    <t>JP</t>
  </si>
  <si>
    <t>Bullet-Proof Software / Nintendo</t>
  </si>
  <si>
    <t>GB</t>
  </si>
  <si>
    <t>handheld gen</t>
  </si>
  <si>
    <t>TETRIS</t>
  </si>
  <si>
    <t>875m usd</t>
  </si>
  <si>
    <t>Puzzle / Arcade</t>
  </si>
  <si>
    <t>Japan</t>
  </si>
  <si>
    <t>BPS / Nintendo</t>
  </si>
  <si>
    <t>Game Boy Advance</t>
  </si>
  <si>
    <t>Handheld 6th</t>
  </si>
  <si>
    <t>PokÃ©mon Ruby/Sapphire</t>
  </si>
  <si>
    <t>16.2M</t>
  </si>
  <si>
    <t>RPG</t>
  </si>
  <si>
    <t>JP+NA</t>
  </si>
  <si>
    <t>Game Freak / Nintendo</t>
  </si>
  <si>
    <t>GBA</t>
  </si>
  <si>
    <t>Handheld Gen 6</t>
  </si>
  <si>
    <t>Jun 11 '01</t>
  </si>
  <si>
    <t>Pokemon Ruby &amp; Sapphire</t>
  </si>
  <si>
    <t>$0.81B</t>
  </si>
  <si>
    <t>34.99 USD</t>
  </si>
  <si>
    <t>RPG/Adventure</t>
  </si>
  <si>
    <t>Game Freak/Nintendo</t>
  </si>
  <si>
    <t>Nintendo DS</t>
  </si>
  <si>
    <t>Handheld Gen7</t>
  </si>
  <si>
    <t>Nintendogs</t>
  </si>
  <si>
    <t>23.9M</t>
  </si>
  <si>
    <t>Simulation</t>
  </si>
  <si>
    <t>NDS</t>
  </si>
  <si>
    <t>Handheld (7th)</t>
  </si>
  <si>
    <t>â‚¬900M</t>
  </si>
  <si>
    <t>â‚¬39.99</t>
  </si>
  <si>
    <t>Sim</t>
  </si>
  <si>
    <t>Nintendo 3DS</t>
  </si>
  <si>
    <t>Handheld Gen8</t>
  </si>
  <si>
    <t>Mario Kart 7</t>
  </si>
  <si>
    <t>18.9M</t>
  </si>
  <si>
    <t>3DS</t>
  </si>
  <si>
    <t>8th Gen (handheld)</t>
  </si>
  <si>
    <t>18.9 million</t>
  </si>
  <si>
    <t>$0.945B</t>
  </si>
  <si>
    <t>PlayStation</t>
  </si>
  <si>
    <t>Sony</t>
  </si>
  <si>
    <t>Gran Turismo</t>
  </si>
  <si>
    <t>10.85M</t>
  </si>
  <si>
    <t>Polyphony Digital / Sony</t>
  </si>
  <si>
    <t>PS1</t>
  </si>
  <si>
    <t>542.5M USD</t>
  </si>
  <si>
    <t>Racing / Sim</t>
  </si>
  <si>
    <t>Polyphony / SCEA</t>
  </si>
  <si>
    <t>PSX</t>
  </si>
  <si>
    <t>Gen 5</t>
  </si>
  <si>
    <t>Sep-09-1995</t>
  </si>
  <si>
    <t>10.8m</t>
  </si>
  <si>
    <t>$0.54B</t>
  </si>
  <si>
    <t>Racing-Sim</t>
  </si>
  <si>
    <t>Polyphony Digital (Sony)</t>
  </si>
  <si>
    <t>PlayStation 2</t>
  </si>
  <si>
    <t>Grand Theft Auto: San Andreas</t>
  </si>
  <si>
    <t>17.3M</t>
  </si>
  <si>
    <t>Action</t>
  </si>
  <si>
    <t>Rockstar North / Rockstar Games</t>
  </si>
  <si>
    <t>PS2</t>
  </si>
  <si>
    <t>GTA: San Andreas</t>
  </si>
  <si>
    <t>865M</t>
  </si>
  <si>
    <t>USD 49.99</t>
  </si>
  <si>
    <t>Action-Adventure</t>
  </si>
  <si>
    <t>Rockstar / Take-Two</t>
  </si>
  <si>
    <t>Playstation2</t>
  </si>
  <si>
    <t>10.26.2000</t>
  </si>
  <si>
    <t>Grand Theft Auto - San Andreas</t>
  </si>
  <si>
    <t>17.3 million</t>
  </si>
  <si>
    <t>$0.865B</t>
  </si>
  <si>
    <t>Action / Adventure</t>
  </si>
  <si>
    <t>Rockstar Games</t>
  </si>
  <si>
    <t>PlayStation 3</t>
  </si>
  <si>
    <t>Grand Theft Auto V</t>
  </si>
  <si>
    <t>??</t>
  </si>
  <si>
    <t>$??</t>
  </si>
  <si>
    <t>PS3</t>
  </si>
  <si>
    <t>7th gen</t>
  </si>
  <si>
    <t>GTA V</t>
  </si>
  <si>
    <t>20M*</t>
  </si>
  <si>
    <t>$1.2B</t>
  </si>
  <si>
    <t>Rockstar</t>
  </si>
  <si>
    <t>PlayStation 4</t>
  </si>
  <si>
    <t>Marvel's Spider-Man</t>
  </si>
  <si>
    <t>$1,000,000,000+</t>
  </si>
  <si>
    <t>Insomniac Games / Sony</t>
  </si>
  <si>
    <t>PS4</t>
  </si>
  <si>
    <t>Nov 15 '13</t>
  </si>
  <si>
    <t>Marvels Spiderman</t>
  </si>
  <si>
    <t>1B USD</t>
  </si>
  <si>
    <t>59.99 USD</t>
  </si>
  <si>
    <t>Insomniac / SIE</t>
  </si>
  <si>
    <t>PS4 Pro</t>
  </si>
  <si>
    <t>(same as PS4)</t>
  </si>
  <si>
    <t>Insomniac / Sony</t>
  </si>
  <si>
    <t>PlayStation 5</t>
  </si>
  <si>
    <t>9th Gen</t>
  </si>
  <si>
    <t>Marvel's Spider-Man 2</t>
  </si>
  <si>
    <t>11.0M</t>
  </si>
  <si>
    <t>PS5</t>
  </si>
  <si>
    <t>9th gen</t>
  </si>
  <si>
    <t>Nov 12 2020</t>
  </si>
  <si>
    <t>Spider-Man 2</t>
  </si>
  <si>
    <t>$0.77B</t>
  </si>
  <si>
    <t>PSP</t>
  </si>
  <si>
    <t>Grand Theft Auto: Liberty City Stories</t>
  </si>
  <si>
    <t>8M</t>
  </si>
  <si>
    <t>Rockstar Leeds / Rockstar Games</t>
  </si>
  <si>
    <t>PlayStation Portable</t>
  </si>
  <si>
    <t>handheld (7th)</t>
  </si>
  <si>
    <t>GTA Liberty City Stories</t>
  </si>
  <si>
    <t>320M USD</t>
  </si>
  <si>
    <t>US$49.99</t>
  </si>
  <si>
    <t>Action/Adventure</t>
  </si>
  <si>
    <t>PS Vita</t>
  </si>
  <si>
    <t>Uncharted: Golden Abyss</t>
  </si>
  <si>
    <t>1.3M</t>
  </si>
  <si>
    <t>Bend Studio / Sony</t>
  </si>
  <si>
    <t>Vita</t>
  </si>
  <si>
    <t>Handheld gen 8</t>
  </si>
  <si>
    <t>Uncharted Golden Abyss</t>
  </si>
  <si>
    <t>â‚¬55,000,000</t>
  </si>
  <si>
    <t>â‚¬49,99</t>
  </si>
  <si>
    <t>Action Adventure</t>
  </si>
  <si>
    <t>SIE Bend / Sony</t>
  </si>
  <si>
    <t>Xbox</t>
  </si>
  <si>
    <t>Microsoft</t>
  </si>
  <si>
    <t>Halo: Combat Evolved</t>
  </si>
  <si>
    <t>5.0M</t>
  </si>
  <si>
    <t>Shooter</t>
  </si>
  <si>
    <t>Bungie / Microsoft</t>
  </si>
  <si>
    <t>XBOX (OG)</t>
  </si>
  <si>
    <t>Gen6</t>
  </si>
  <si>
    <t>Nov 15 '01</t>
  </si>
  <si>
    <t>Halo CE</t>
  </si>
  <si>
    <t>250M USD</t>
  </si>
  <si>
    <t>FPS</t>
  </si>
  <si>
    <t>Bungie / MS</t>
  </si>
  <si>
    <t>Xbox 360</t>
  </si>
  <si>
    <t>Kinect Adventures!</t>
  </si>
  <si>
    <t>24M</t>
  </si>
  <si>
    <t>Bundled</t>
  </si>
  <si>
    <t>Party</t>
  </si>
  <si>
    <t>Good Science Studio / Microsoft</t>
  </si>
  <si>
    <t>X360</t>
  </si>
  <si>
    <t>microsoft</t>
  </si>
  <si>
    <t>Kinect Adventures</t>
  </si>
  <si>
    <t>0.96B</t>
  </si>
  <si>
    <t>N/A (pack-in)</t>
  </si>
  <si>
    <t>Party / Sports</t>
  </si>
  <si>
    <t>Microsoft Game Studios</t>
  </si>
  <si>
    <t>Xbox One</t>
  </si>
  <si>
    <t>PlayerUnknown's Battlegrounds</t>
  </si>
  <si>
    <t>9M</t>
  </si>
  <si>
    <t>PUBG Corp / Microsoft (pub?)</t>
  </si>
  <si>
    <t>XB1</t>
  </si>
  <si>
    <t>PUBG</t>
  </si>
  <si>
    <t>$270M</t>
  </si>
  <si>
    <t>Battle Royale</t>
  </si>
  <si>
    <t>Krafton / Xbox Game Studios</t>
  </si>
  <si>
    <t>Xbox One S</t>
  </si>
  <si>
    <t>Minecraft</t>
  </si>
  <si>
    <t>Sandbox</t>
  </si>
  <si>
    <t>Mojang / Microsoft</t>
  </si>
  <si>
    <t>Xbox Series X|S</t>
  </si>
  <si>
    <t>Call of Duty: Modern Warfare II</t>
  </si>
  <si>
    <t>6.5M</t>
  </si>
  <si>
    <t>Infinity Ward / Activision</t>
  </si>
  <si>
    <t>Series X/S</t>
  </si>
  <si>
    <t>Gen 9</t>
  </si>
  <si>
    <t>COD: MWII</t>
  </si>
  <si>
    <t>455M USD</t>
  </si>
  <si>
    <t>USD69.99</t>
  </si>
  <si>
    <t>FPS/Shooter</t>
  </si>
  <si>
    <t>Activision (pub)</t>
  </si>
  <si>
    <t>Sega Genesis</t>
  </si>
  <si>
    <t>Sega</t>
  </si>
  <si>
    <t>Sonic the Hedgehog</t>
  </si>
  <si>
    <t>15M</t>
  </si>
  <si>
    <t>Sonic Team / Sega</t>
  </si>
  <si>
    <t>Mega Drive</t>
  </si>
  <si>
    <t>SEGA</t>
  </si>
  <si>
    <t>Â£340,000,000</t>
  </si>
  <si>
    <t>Â£39.99</t>
  </si>
  <si>
    <t>Sega Master System</t>
  </si>
  <si>
    <t>Alex Kidd in Miracle World</t>
  </si>
  <si>
    <t>?</t>
  </si>
  <si>
    <t>Saturn</t>
  </si>
  <si>
    <t>Virtua Fighter 2</t>
  </si>
  <si>
    <t>1.7M</t>
  </si>
  <si>
    <t>Sega AM2 / Sega</t>
  </si>
  <si>
    <t>Sega Saturn</t>
  </si>
  <si>
    <t>85M USD</t>
  </si>
  <si>
    <t>Dreamcast</t>
  </si>
  <si>
    <t>Sonic Adventure</t>
  </si>
  <si>
    <t>2.5M</t>
  </si>
  <si>
    <t>NA/JP</t>
  </si>
  <si>
    <t>SEGA DreamCast</t>
  </si>
  <si>
    <t>125M</t>
  </si>
  <si>
    <t>Action-Platform</t>
  </si>
  <si>
    <t>Game Gear</t>
  </si>
  <si>
    <t>Sonic the Hedgehog (GG)</t>
  </si>
  <si>
    <t>2.7M</t>
  </si>
  <si>
    <t>Ancient / Sega</t>
  </si>
  <si>
    <t>Sega GG</t>
  </si>
  <si>
    <t>81M USD</t>
  </si>
  <si>
    <t>PlayStation (Slim)</t>
  </si>
  <si>
    <t>Gran Turismo 2</t>
  </si>
  <si>
    <t>9.3M</t>
  </si>
  <si>
    <t>PS2 (SCPH-700xx)</t>
  </si>
  <si>
    <t>Rockstar North / Rockstar</t>
  </si>
  <si>
    <t>PS5 Digital</t>
  </si>
  <si>
    <t>11M</t>
  </si>
  <si>
    <t>$770M</t>
  </si>
  <si>
    <t>Xbox 360 (S)</t>
  </si>
  <si>
    <t>960,000,000 USD</t>
  </si>
  <si>
    <t>Pack-in</t>
  </si>
  <si>
    <t>Sports/Party</t>
  </si>
  <si>
    <t>Nintendo Switch Lite</t>
  </si>
  <si>
    <t>Animal Crossing: New Horizons</t>
  </si>
  <si>
    <t>Nintendo EPD</t>
  </si>
  <si>
    <t>Switch lite</t>
  </si>
  <si>
    <t>Sep 20 '19</t>
  </si>
  <si>
    <t>Animal Crossing New Horizons</t>
  </si>
  <si>
    <t>40M</t>
  </si>
  <si>
    <t>$2.4B</t>
  </si>
  <si>
    <t>Simulation / Life</t>
  </si>
  <si>
    <t>PS4 (CUH-1000)</t>
  </si>
  <si>
    <t>20 M</t>
  </si>
  <si>
    <t>Insomniac Games</t>
  </si>
  <si>
    <t>Xbox One X</t>
  </si>
  <si>
    <t>Red Dead Redemption 2</t>
  </si>
  <si>
    <t>5.5M</t>
  </si>
  <si>
    <t>PS3 Slim</t>
  </si>
  <si>
    <t>The Last of Us</t>
  </si>
  <si>
    <t>7M</t>
  </si>
  <si>
    <t>Action-adventure</t>
  </si>
  <si>
    <t>Naughty Dog / Sony</t>
  </si>
  <si>
    <t>Nintendo Switch 2</t>
  </si>
  <si>
    <t>9th Gen?</t>
  </si>
  <si>
    <t>TBD</t>
  </si>
  <si>
    <t>Sega 32X</t>
  </si>
  <si>
    <t>5th gen?</t>
  </si>
  <si>
    <t>Doom (32X)</t>
  </si>
  <si>
    <t>0.6M</t>
  </si>
  <si>
    <t>id Software / Sega</t>
  </si>
  <si>
    <t>Sega CD</t>
  </si>
  <si>
    <t>4th Gen (addon)</t>
  </si>
  <si>
    <t>Sonic CD</t>
  </si>
  <si>
    <t>1.5M</t>
  </si>
  <si>
    <t>PlayStation VR2</t>
  </si>
  <si>
    <t>9th Gen (accessory)</t>
  </si>
  <si>
    <t>Horizon Call of the Mountain</t>
  </si>
  <si>
    <t>0.5M</t>
  </si>
  <si>
    <t>$30M</t>
  </si>
  <si>
    <t>Guerrilla / Sony</t>
  </si>
  <si>
    <t>Xbox (Series S)</t>
  </si>
  <si>
    <t>Forza Horizon 5</t>
  </si>
  <si>
    <t>3.2M</t>
  </si>
  <si>
    <t>Playground Games / Microsoft</t>
  </si>
  <si>
    <t>nine million</t>
  </si>
  <si>
    <t>Shooter/Battle Royale</t>
  </si>
  <si>
    <t>PUBG Corp</t>
  </si>
  <si>
    <t>60.0 M</t>
  </si>
  <si>
    <t>$3.6 B</t>
  </si>
  <si>
    <t>19/11/2006</t>
  </si>
  <si>
    <t>(pack-in)</t>
  </si>
  <si>
    <t>$1.7B</t>
  </si>
  <si>
    <t>ConsoleName</t>
  </si>
  <si>
    <t>GameReleaseDate</t>
  </si>
  <si>
    <t>BestSellingGameTitle</t>
  </si>
  <si>
    <t>BestSellingUnitsSold</t>
  </si>
  <si>
    <t>Estimated Game Revenue (proxy) (USD)</t>
  </si>
  <si>
    <t>Developer</t>
  </si>
  <si>
    <t>HardwareUnitsSold (Global)</t>
  </si>
  <si>
    <t>Estimated Hardware Revenue (proxy) (Global USD)</t>
  </si>
  <si>
    <t>HardwareSalesBasis (Lifetime or As-of YYYY-MM-DD)</t>
  </si>
  <si>
    <t>LaunchYear</t>
  </si>
  <si>
    <t>EndOfLifeYear</t>
  </si>
  <si>
    <t>US_MSRP_Low_USD</t>
  </si>
  <si>
    <t>US_MSRP_High_USD</t>
  </si>
  <si>
    <t>US_MSRP_Ref_USD</t>
  </si>
  <si>
    <t>MSRP_Source_URL</t>
  </si>
  <si>
    <t>HardwareASP_USD</t>
  </si>
  <si>
    <t>ImpliedRegionMultiplier</t>
  </si>
  <si>
    <t>SalesBasisType</t>
  </si>
  <si>
    <t>AsOfGranularity</t>
  </si>
  <si>
    <t>AsOfDate</t>
  </si>
  <si>
    <t>ActiveFlag</t>
  </si>
  <si>
    <t>LifecycleYears</t>
  </si>
  <si>
    <t>IsHardwareRevenueMissing</t>
  </si>
  <si>
    <t>IsHardwareEstimate</t>
  </si>
  <si>
    <t>HardwareRevenueMethod</t>
  </si>
  <si>
    <t>IsGameRevenueEstimated</t>
  </si>
  <si>
    <t>GameRevenueMethod</t>
  </si>
  <si>
    <t>BestSellerGameASP_USD</t>
  </si>
  <si>
    <t>BestSellerAttachRate</t>
  </si>
  <si>
    <t>HW_Units_NA (proxy)</t>
  </si>
  <si>
    <t>HW_Units_EU (proxy)</t>
  </si>
  <si>
    <t>HW_Units_JP (proxy)</t>
  </si>
  <si>
    <t>HW_Units_ROW (proxy)</t>
  </si>
  <si>
    <t>HW_Revenue_NA (proxy USD)</t>
  </si>
  <si>
    <t>HW_Revenue_EU (proxy USD)</t>
  </si>
  <si>
    <t>HW_Revenue_JP (proxy USD)</t>
  </si>
  <si>
    <t>HW_Revenue_ROW (proxy USD)</t>
  </si>
  <si>
    <t>Game_Units_NA (proxy)</t>
  </si>
  <si>
    <t>Game_Units_EU (proxy)</t>
  </si>
  <si>
    <t>Game_Units_JP (proxy)</t>
  </si>
  <si>
    <t>Game_Units_ROW (proxy)</t>
  </si>
  <si>
    <t>Game_Revenue_NA (proxy USD)</t>
  </si>
  <si>
    <t>Game_Revenue_EU (proxy USD)</t>
  </si>
  <si>
    <t>Game_Revenue_JP (proxy USD)</t>
  </si>
  <si>
    <t>Game_Revenue_ROW (proxy USD)</t>
  </si>
  <si>
    <t>IsRegionalEstimate</t>
  </si>
  <si>
    <t>RegionalSplitMethod</t>
  </si>
  <si>
    <t>RegionDefinition</t>
  </si>
  <si>
    <t>Sonic Team</t>
  </si>
  <si>
    <t>Lifetime</t>
  </si>
  <si>
    <t>https://en.wikipedia.org/wiki/Dreamcast</t>
  </si>
  <si>
    <t>Lifetime (Game Boy + Color)</t>
  </si>
  <si>
    <t>https://en.wikipedia.org/wiki/Game_Boy</t>
  </si>
  <si>
    <t>Game Freak</t>
  </si>
  <si>
    <t>https://en.wikipedia.org/wiki/Game_Boy_Advance</t>
  </si>
  <si>
    <t>As of 1996-03</t>
  </si>
  <si>
    <t>https://en.wikipedia.org/wiki/Game_Gear</t>
  </si>
  <si>
    <t>HAL Laboratory</t>
  </si>
  <si>
    <t>https://en.wikipedia.org/wiki/GameCube</t>
  </si>
  <si>
    <t>Genesis (Mega Drive)</t>
  </si>
  <si>
    <t>Lifetime (Sega first-party)</t>
  </si>
  <si>
    <t>https://en.wikipedia.org/wiki/Sega_Genesis</t>
  </si>
  <si>
    <t>https://en.wikipedia.org/wiki/Nintendo_Entertainment_System</t>
  </si>
  <si>
    <t>As of 2022-09-30</t>
  </si>
  <si>
    <t>https://en.wikipedia.org/wiki/Nintendo_3DS</t>
  </si>
  <si>
    <t>https://en.wikipedia.org/wiki/Nintendo_64</t>
  </si>
  <si>
    <t>https://en.wikipedia.org/wiki/Nintendo_DS</t>
  </si>
  <si>
    <t>PlayStation 1</t>
  </si>
  <si>
    <t>Polyphony Digital</t>
  </si>
  <si>
    <t>https://en.wikipedia.org/wiki/PlayStation_(console)</t>
  </si>
  <si>
    <t>https://en.wikipedia.org/wiki/PlayStation_2</t>
  </si>
  <si>
    <t>https://en.wikipedia.org/wiki/PlayStation_3</t>
  </si>
  <si>
    <t>As of 2022-03-31</t>
  </si>
  <si>
    <t>https://en.wikipedia.org/wiki/PlayStation_4</t>
  </si>
  <si>
    <t>As of 2025-11-12</t>
  </si>
  <si>
    <t>https://en.wikipedia.org/wiki/PlayStation_5</t>
  </si>
  <si>
    <t>https://en.wikipedia.org/wiki/PlayStation_Portable</t>
  </si>
  <si>
    <t>PlayStation Vita</t>
  </si>
  <si>
    <t>Adventure</t>
  </si>
  <si>
    <t>Bend Studio</t>
  </si>
  <si>
    <t>Estimate (~16m); no official total</t>
  </si>
  <si>
    <t>https://en.wikipedia.org/wiki/PlayStation_Vita</t>
  </si>
  <si>
    <t>https://en.wikipedia.org/wiki/Sega_Saturn</t>
  </si>
  <si>
    <t>https://en.wikipedia.org/wiki/Super_Nintendo_Entertainment_System</t>
  </si>
  <si>
    <t>As of 2025 (shipped)</t>
  </si>
  <si>
    <t>https://en.wikipedia.org/wiki/Nintendo_Switch</t>
  </si>
  <si>
    <t>https://en.wikipedia.org/wiki/Wii</t>
  </si>
  <si>
    <t>https://en.wikipedia.org/wiki/Wii_U</t>
  </si>
  <si>
    <t>Bungie</t>
  </si>
  <si>
    <t>https://en.wikipedia.org/wiki/Xbox_(console)</t>
  </si>
  <si>
    <t>Good Science Studio</t>
  </si>
  <si>
    <t>As of 2014-06-09 (official)</t>
  </si>
  <si>
    <t>https://en.wikipedia.org/wiki/Xbox_360</t>
  </si>
  <si>
    <t>PUBG Corporation</t>
  </si>
  <si>
    <t>As of 2023-06 (estimate)</t>
  </si>
  <si>
    <t>https://en.wikipedia.org/wiki/Xbox_One</t>
  </si>
  <si>
    <t>Xbox Series X/S</t>
  </si>
  <si>
    <t>Infinity Ward</t>
  </si>
  <si>
    <t>As of 2024-06 (estimate)</t>
  </si>
  <si>
    <t>https://en.wikipedia.org/wiki/Xbox_Series_X_and_Series_S</t>
  </si>
  <si>
    <t>Mario Kart World</t>
  </si>
  <si>
    <t>As of 2025-09-30 (Nintendo IR)</t>
  </si>
  <si>
    <t>https://www.nintendo.com/us/gaming-systems/switch-2/</t>
  </si>
  <si>
    <t>Date</t>
  </si>
  <si>
    <t>Column/Row</t>
  </si>
  <si>
    <t>Issue Found</t>
  </si>
  <si>
    <t>Fix Applied</t>
  </si>
  <si>
    <t>Notes/Assumptions</t>
  </si>
  <si>
    <t>Headers not standardized</t>
  </si>
  <si>
    <t>Clear name applied</t>
  </si>
  <si>
    <t>Not enough data</t>
  </si>
  <si>
    <t>Deletion</t>
  </si>
  <si>
    <t>Nintendo Switch 2 is a new console released at the end of 2025; not enough data for metrics</t>
  </si>
  <si>
    <t>Regions not standardized</t>
  </si>
  <si>
    <t>Normalized regions</t>
  </si>
  <si>
    <t>Genre names not standarized</t>
  </si>
  <si>
    <t>Changed to primary genre</t>
  </si>
  <si>
    <t>Manufacturer not cased properly</t>
  </si>
  <si>
    <t>Used trim and proper functions</t>
  </si>
  <si>
    <t>Console names not standardized</t>
  </si>
  <si>
    <t>Normalized console names</t>
  </si>
  <si>
    <t>27, 50,51, 58,59,74,75</t>
  </si>
  <si>
    <t>Alternative versions</t>
  </si>
  <si>
    <t>Removing any slim, lite, oled, etc. versions of the console because they are the same consoles with better specs</t>
  </si>
  <si>
    <t>Add on/Accessory</t>
  </si>
  <si>
    <t>Not considered a console</t>
  </si>
  <si>
    <t>Generation column not standardized</t>
  </si>
  <si>
    <t>Normalized generation names</t>
  </si>
  <si>
    <t>ReleasedDate</t>
  </si>
  <si>
    <t>Dates in different format</t>
  </si>
  <si>
    <t>Changed dates to short dates</t>
  </si>
  <si>
    <t>GameTitle</t>
  </si>
  <si>
    <t>GameTitle in different casings</t>
  </si>
  <si>
    <t>changed game titles to proper casing</t>
  </si>
  <si>
    <t>Entry not needed</t>
  </si>
  <si>
    <t>Choosing to exclude for entry with Xbox Series X/S</t>
  </si>
  <si>
    <t>Wrong console name</t>
  </si>
  <si>
    <t>changed to correct console name</t>
  </si>
  <si>
    <t>SEGA Genesis was called SEGA Mega Drive in Europe</t>
  </si>
  <si>
    <t>TotalRevenue</t>
  </si>
  <si>
    <t>Not formated to currency</t>
  </si>
  <si>
    <t>formatted to currency</t>
  </si>
  <si>
    <t>ReleasePrice</t>
  </si>
  <si>
    <t>Column not need</t>
  </si>
  <si>
    <t>excluded from analysis</t>
  </si>
  <si>
    <t>Developed not normalized</t>
  </si>
  <si>
    <t>Normalized developer column</t>
  </si>
  <si>
    <t>Missing units and revenue</t>
  </si>
  <si>
    <t>This title did not have any sales or revenues data</t>
  </si>
  <si>
    <t>5,6</t>
  </si>
  <si>
    <t>Same system, different region names</t>
  </si>
  <si>
    <t>Merged</t>
  </si>
  <si>
    <t>Cleaned - Video Game Data: columns K–O</t>
  </si>
  <si>
    <t>Missing hardware sales context</t>
  </si>
  <si>
    <t>Added hardware units sold, hardware revenue, sales basis, launch year, end-of-life year</t>
  </si>
  <si>
    <t>HardwareSalesBasis expects 'Lifetime' or an as-of date formatted YYYY-MM-DD</t>
  </si>
  <si>
    <t>Cleaned - Video Game Data (vg_data) row 28</t>
  </si>
  <si>
    <t>Nintendo Switch 2 previously excluded, leaving dataset without 9th-gen Nintendo successor metrics.</t>
  </si>
  <si>
    <t>Added Nintendo Switch 2 row with as-of hardware units and top-selling title units; populated MSRP and estimated top-title gross revenue; left hardware revenue blank to avoid fabricating ASP/multiplier.</t>
  </si>
  <si>
    <t>Hardware units sold (10.36M) and top-selling title units (Mario Kart World 9.57M) as of 2025-09-30 per Nintendo IR. MSRP ($449.99) per Nintendo official site. Best-selling game revenue estimated as units * $79.99 (gross consumer spend proxy, excludes taxes/discounts and bundle allocation).</t>
  </si>
  <si>
    <t>Cleaned - Video Game Data: added columns V–AG</t>
  </si>
  <si>
    <t>Dashboard required standardized sales-basis fields and explicit estimate/missing flags for apples-to-apples filtering.</t>
  </si>
  <si>
    <t>Added SalesBasisType, AsOfGranularity, AsOfDate (parsed), ActiveFlag, LifecycleYears, estimate/missing indicators, revenue method tags, and best-seller ASP/attach-rate metrics. Extended vg_data table range to include new columns.</t>
  </si>
  <si>
    <t>AsOfDate parsing: Day precision uses YYYY-MM-DD; Month precision uses month-end via EOMONTH; Year-only uses 12/31 of that year and is tagged as Year in AsOfGranularity. Estimates and missing values are flagged to keep dashboards honest by default.</t>
  </si>
  <si>
    <t>Cleaned - Video Game Data (headers)</t>
  </si>
  <si>
    <t>Revenue columns looked like official financials</t>
  </si>
  <si>
    <t>Renamed revenue fields to explicit proxy labels</t>
  </si>
  <si>
    <t>Use HardwareRevenueMethod/GameRevenueMethod + estimate flags to include/exclude modeled values.</t>
  </si>
  <si>
    <t>Regional Assumptions (new sheet)</t>
  </si>
  <si>
    <t>No consistent region definitions or split mechanism</t>
  </si>
  <si>
    <t>Added region definitions + editable manufacturer-level region shares + data-driven GlobalPriceMultiplier</t>
  </si>
  <si>
    <t>Region shares are placeholders by default; update when you have sourced splits. Multiplier is avg implied multiplier per manufacturer.</t>
  </si>
  <si>
    <t>Cleaned - Video Game Data (hardware revenue fill)</t>
  </si>
  <si>
    <t>Some consoles had missing hardware revenue, blocking ASP/multiplier + regional revenue</t>
  </si>
  <si>
    <t>Filled missing global hardware revenue with formula: Units * US_MSRP_Ref * GlobalPriceMultiplier</t>
  </si>
  <si>
    <t>Switch 2 now has a revenue proxy instead of blank. Marked as estimate via existing flags.</t>
  </si>
  <si>
    <t>Cleaned - Video Game Data (regional metrics)</t>
  </si>
  <si>
    <t>No region-level units/revenue fields for dashboard slicing</t>
  </si>
  <si>
    <t>Added NA/EU/JP/ROW proxy units + proxy revenue for hardware and best-selling game (sums to global)</t>
  </si>
  <si>
    <t>Derived from global totals using shares in Regional Assumptions. Shares are consistent across basis/date because they are row-level splits.</t>
  </si>
  <si>
    <t>vg_data table definition</t>
  </si>
  <si>
    <t>Excel table did not include derived columns (risk: pivots/dashboards miss fields)</t>
  </si>
  <si>
    <t>Rebuilt vg_data table to cover A1:AZ63</t>
  </si>
  <si>
    <t>Refresh existing PivotTables if they were cached before this update.</t>
  </si>
  <si>
    <t>Cleaned - Video Game Data!AH:AX</t>
  </si>
  <si>
    <t>Regional proxy columns had no cached values and some rows lacked formulas (risk: blanks on import)</t>
  </si>
  <si>
    <t>Filled formulas for AH2:AX63 and recalculated workbook to cache results</t>
  </si>
  <si>
    <t>Values are proxies using Regional Assumptions shares; edit shares there to change splits.</t>
  </si>
  <si>
    <t>Regional Assumptions!F7:F11</t>
  </si>
  <si>
    <t>Circular reference caused by GlobalPriceMultiplier averaging implied multipliers that depend on estimated revenue</t>
  </si>
  <si>
    <t>Changed GlobalPriceMultiplier formulas to exclude rows where IsHardwareEstimate=1 (uses AVERAGEIFS with AB column criteria)</t>
  </si>
  <si>
    <t>Prevents multiplier from depending on consoles whose revenue uses the multiplier (e.g., Switch 2).</t>
  </si>
  <si>
    <t>Circular reference triggered by Switch 2 revenue proxy referencing GlobalPriceMultiplier that also averaged multipliers including estimated rows</t>
  </si>
  <si>
    <t>Updated GlobalPriceMultiplier formulas to use AVERAGEIFS and exclude estimated rows (IsHardwareEstimate=0; ImpliedRegionMultiplier&gt;0)</t>
  </si>
  <si>
    <t>Prevents L28 circular reference; multiplier is now based only on consoles with reported revenue proxies (non-estimated rows).</t>
  </si>
  <si>
    <t>Cleaned - Video Game Data</t>
  </si>
  <si>
    <t>AA28, AB28, U28</t>
  </si>
  <si>
    <t>Removed circular reference by overriding Switch 2 flags and implied multiplier: AA28 set to 0 (not missing), AB28 set to 1 (estimate), U28 set blank so multiplier averages no longer depend on Switch 2 estimated revenue.</t>
  </si>
  <si>
    <t>Fixes circular references reported in L28/AA28/AB28 and Regional Assumptions F8; preserves estimate toggle behavior.</t>
  </si>
  <si>
    <t>Regional Assumptions!F7:F11; Cleaned row 28 (AA, AB, U)</t>
  </si>
  <si>
    <t>Circular references reappeared when copying formulas into Switch 2 helper flag cells.</t>
  </si>
  <si>
    <t>Excluded Switch 2 row from manufacturer multiplier averaging via split-range SUMIFS/COUNTIFS; restored standard formulas for Switch 2 flags and implied multiplier.</t>
  </si>
  <si>
    <t>Uses Switch2_RowIndex helper (Regional Assumptions!H7) to dynamically locate Switch 2 row. If Switch 2 is removed, formulas fall back to original AVERAGEIFS.</t>
  </si>
  <si>
    <t>Regional Assumptions</t>
  </si>
  <si>
    <t>Region definition (used everywhere):</t>
  </si>
  <si>
    <t>NA=US+Canada; EU=Europe; JP=Japan; ROW=Rest of World</t>
  </si>
  <si>
    <t>How it works:</t>
  </si>
  <si>
    <t>Regional units/revenue are proxies split from global totals using the shares below. Edit shares if you have better data.</t>
  </si>
  <si>
    <t>GlobalPriceMultiplier:</t>
  </si>
  <si>
    <t>Used ONLY to fill missing global hardware revenue proxies (e.g., Switch 2) as Units * US_MSRP_Ref * Multiplier (avg implied multiplier by manufacturer).</t>
  </si>
  <si>
    <t>NA_Share</t>
  </si>
  <si>
    <t>EU_Share</t>
  </si>
  <si>
    <t>JP_Share</t>
  </si>
  <si>
    <t>ROW_Share</t>
  </si>
  <si>
    <t>GlobalPriceMultiplier</t>
  </si>
  <si>
    <t>Notes</t>
  </si>
  <si>
    <t>Switch2_RowIndex</t>
  </si>
  <si>
    <t>Default</t>
  </si>
  <si>
    <t>PLACEHOLDER shares; update with real regional splits if available.</t>
  </si>
  <si>
    <t>Default placeholder; adjust if you have better splits.</t>
  </si>
  <si>
    <t>Sum of HardwareUnitsSold (Global)</t>
  </si>
  <si>
    <t>Sum of Estimated Hardware Revenue (proxy) (Global USD)</t>
  </si>
  <si>
    <t>Average of HardwareASP_USD</t>
  </si>
  <si>
    <t>Row Labels</t>
  </si>
  <si>
    <t>Grand Total</t>
  </si>
  <si>
    <t xml:space="preserve"> </t>
  </si>
  <si>
    <t>Console_Name</t>
  </si>
  <si>
    <t>Console_URL</t>
  </si>
  <si>
    <t>Column1</t>
  </si>
  <si>
    <t>https://logos-world.net/wp-content/uploads/2020/12/Dreamcast-Logo-700x394.png</t>
  </si>
  <si>
    <t>https://d1yjjnpx0p53s8.cloudfront.net/styles/logo-thumbnail/s3/112015/game_boy_logo.png?itok=UXazN5oc</t>
  </si>
  <si>
    <t>https://i.ebayimg.com/images/g/n6oAAOSw-CNhiWn-/s-l1600.webp</t>
  </si>
  <si>
    <t>https://static.wikia.nocookie.net/world-of-media/images/4/43/Game_gear_logo.png/revision/latest/scale-to-width-down/1000?cb=20160324115645</t>
  </si>
  <si>
    <t>https://cdn2.steamgriddb.com/thumb/0ac80accc4e8d179a2ebb4707a083c7d.jpg</t>
  </si>
  <si>
    <t>https://www.nicepng.com/png/detail/154-1544722_logo-sega-genesis.png</t>
  </si>
  <si>
    <t>https://static.wikia.nocookie.net/world-of-media/images/c/c0/Nes_logo.png/revision/latest?cb=20140119223325</t>
  </si>
  <si>
    <t>https://cdn.freebiesupply.com/logos/large/2x/nintendo-3ds-logo-png-transparent.png</t>
  </si>
  <si>
    <t>https://logos-world.net/wp-content/uploads/2022/10/N64-Nintendo-64-Emblem-500x281.png</t>
  </si>
  <si>
    <t>https://www.pngitem.com/pimgs/m/3-39180_nintendo-ds-logo-png-transparent-png.png</t>
  </si>
  <si>
    <t>https://cdn.thefpsreview.com/wp-content/uploads/2024/09/nintendo-switch-2-mock-up-logo-feature.jpg.webp</t>
  </si>
  <si>
    <t>https://cdn2.steamgriddb.com/thumb/789149522a71b1d4773a4d4d50810e4f.jpg</t>
  </si>
  <si>
    <t>https://www.nicepng.com/png/detail/48-489434_sony-playstation-2-logo-vector-playstation-2-logo.png</t>
  </si>
  <si>
    <t>https://cdn.3axis.co/user-images/e1ggrm1l.jpg</t>
  </si>
  <si>
    <t>https://etgeekera.com/wp-content/uploads/2013/06/sony-ps4-banner.jpg</t>
  </si>
  <si>
    <t>https://ps5playstation5.com/images/ps5-official-logo-blue.jpg</t>
  </si>
  <si>
    <t>https://www.nicepng.com/png/detail/89-893586_psp-logo-playstation-portable-logo-sony-psp-logo.png</t>
  </si>
  <si>
    <t>https://cdn.freebiesupply.com/logos/large/2x/playstation-vita-logo-png-transparent.png</t>
  </si>
  <si>
    <t>https://www.nicepng.com/png/detail/66-669493_sega-logo-png-for-kids-sega-saturn-logo.png</t>
  </si>
  <si>
    <t>https://www.nicepng.com/png/detail/150-1505020_welcome-to-the-j-section-of-the-snes.png</t>
  </si>
  <si>
    <t>https://upload.wikimedia.org/wikipedia/commons/thumb/a/a0/Nintendo_Switch_logo%2C_horizontal.png/1280px-Nintendo_Switch_logo%2C_horizontal.png?20161020164345</t>
  </si>
  <si>
    <t>https://sydneyretro.com.au/cdn/shop/collections/Wii_banner_1728x.png?v=1686650091</t>
  </si>
  <si>
    <t>https://cgrgames.com/cdn/shop/collections/wii_u_banner-1_946x.png?v=1606219780</t>
  </si>
  <si>
    <t>https://etgeekera.com/wp-content/uploads/2013/06/xbox-one-logo-banner.jpg</t>
  </si>
  <si>
    <t>https://assets.fontsinuse.com/use-media/59315/upto-700xauto/59fe2020/@2x/png/2000px-Xbox-logo-schwarz-svg.png</t>
  </si>
  <si>
    <t>https://wallpapers.com/images/high/xbox360-logo-graphic-1vblttii6rcutgm9.png</t>
  </si>
  <si>
    <t>https://logos-world.net/wp-content/uploads/2023/09/Xbox-Series-X-S-Logo-500x281.png</t>
  </si>
  <si>
    <t>https://static.wikia.nocookie.net/sonic/images/2/2b/SonicAdventure_Logo.png/revision/latest/scale-to-width-down/1000?cb=20200603195216</t>
  </si>
  <si>
    <t>https://res.cloudinary.com/vanta-pm/image/upload/q_40/f_auto/v1694559749/Game%20banners/tetris_jhtaml.jpg</t>
  </si>
  <si>
    <t>https://static.wikia.nocookie.net/mudae/images/5/59/Pok%C3%A9mon_Ruby_Sapphire_Emerald_Logo.png/revision/latest/scale-to-width-down/1000?cb=20210607211706</t>
  </si>
  <si>
    <t>https://upload.wikimedia.org/wikipedia/commons/thumb/1/1f/Sonic_The_Hedgehog.svg/500px-Sonic_The_Hedgehog.svg.png</t>
  </si>
  <si>
    <t>https://www.nicepng.com/png/detail/225-2256725_super-smash-bros-melee-logo.png</t>
  </si>
  <si>
    <t>https://zenius-i-vanisher.com/simfiles/HellKiteChaoS%201/Super%20Mario%20Bros.%20Overworld%20Theme/Super%20Mario%20Bros.%20Overworld%20Theme.png?t=1582692203</t>
  </si>
  <si>
    <t>https://cdn.mos.cms.futurecdn.net/22c219df4c008478c01ef245c9b5492f-1200-80.jpg.webp</t>
  </si>
  <si>
    <t>https://www.mariowiki.com/images/2/20/SuperMario64Logo4.png?20201030121048</t>
  </si>
  <si>
    <t>https://ssb.wiki.gallery/images/thumb/1/1a/Nintendogs_logo.png/450px-Nintendogs_logo.png</t>
  </si>
  <si>
    <t>https://static.wikia.nocookie.net/mario/images/5/58/Mario_Kart_World_logo.png/revision/latest?cb=20250402185550</t>
  </si>
  <si>
    <t>https://images2.alphacoders.com/530/thumb-1920-530581.jpg</t>
  </si>
  <si>
    <t>https://www.kindpng.com/picc/m/99-997842_gta-san-andreas-hd-png-download.png</t>
  </si>
  <si>
    <t>https://images6.alphacoders.com/132/thumb-1920-1320359.jpeg</t>
  </si>
  <si>
    <t>https://upload.wikimedia.org/wikipedia/commons/9/94/Spider-Man_PS4.jpg</t>
  </si>
  <si>
    <t>https://shared.steamstatic.com/store_item_assets/steam/apps/2651280/header.jpg?t=1763569811</t>
  </si>
  <si>
    <t>https://upload.wikimedia.org/wikipedia/commons/b/b8/Grand_Theft_Auto_Liberty_City_Stories_logo.png</t>
  </si>
  <si>
    <t>https://assets.altarofgaming.com/wp-content/uploads/2022/01/uncharted-golden-abyss-logo-altar-of-gaming-300x150.png</t>
  </si>
  <si>
    <t>https://assets.altarofgaming.com/wp-content/uploads/2024/11/virtua-fighter-2-2d-game-logo-altar-of-gaming-300x150.png</t>
  </si>
  <si>
    <t>https://i0.wp.com/www.arcadeattack.co.uk/wp-content/uploads/2019/07/Super-Mario-World-SNES-Banner.jpg?w=600&amp;ssl=1</t>
  </si>
  <si>
    <t>https://cdn.mobygames.com/screenshots/12490162-mario-kart-8-deluxe-nintendo-switch-initializing-the-game.jpg</t>
  </si>
  <si>
    <t>https://www.kindpng.com/picc/m/650-6502723_wii-sports-logo-png-transparent-png.png</t>
  </si>
  <si>
    <t>https://mario.wiki.gallery/images/thumb/b/b0/Mario_Kart_8_Logo.png/375px-Mario_Kart_8_Logo.png</t>
  </si>
  <si>
    <t>https://upload.wikimedia.org/wikipedia/commons/thumb/7/7a/Halo_Combat_Evolved.png/1280px-Halo_Combat_Evolved.png?20181104212101</t>
  </si>
  <si>
    <t>https://assets.altarofgaming.com/wp-content/uploads/2022/06/kinect-adventures-logo-altar-of-gaming-300x150.png</t>
  </si>
  <si>
    <t>https://static.wikia.nocookie.net/jacksepticeye/images/c/c5/PlayerUnknown%27s_Battlegrounds_logo.png/revision/latest?cb=20190328212451</t>
  </si>
  <si>
    <t>https://i.pinimg.com/1200x/17/35/68/17356812c54eb21b9b1c17776e8d9755.jpg</t>
  </si>
  <si>
    <t>Sum of BestSellingUnitsSold</t>
  </si>
  <si>
    <t>Game_URLs</t>
  </si>
  <si>
    <t>Game_Names</t>
  </si>
  <si>
    <t>Estimated Hardware Revenue</t>
  </si>
  <si>
    <t>Hardware Units Sold</t>
  </si>
  <si>
    <t>Sum of BestSellerAttachRate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</si>
</sst>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4">
    <numFmt numFmtId="6" formatCode="&quot;$&quot;#,##0_);[Red]\(&quot;$&quot;#,##0\)"/>
    <numFmt numFmtId="8" formatCode="&quot;$&quot;#,##0.00_);[Red]\(&quot;$&quot;#,##0.00\)"/>
    <numFmt numFmtId="43" formatCode="_(* #,##0.00_);_(* \(#,##0.00\);_(* &quot;-&quot;??_);_(@_)"/>
    <numFmt numFmtId="164" formatCode="_(* #,##0_);_(* \(#,##0\);_(* &quot;-&quot;??_);_(@_)"/>
    <numFmt numFmtId="165" formatCode="&quot;$&quot;#,##0"/>
    <numFmt numFmtId="166" formatCode="yyyy\-mm\-dd;@"/>
    <numFmt numFmtId="167" formatCode="\$#,##0"/>
    <numFmt numFmtId="168" formatCode="\$#,##0.00"/>
    <numFmt numFmtId="169" formatCode="yyyy\-mm\-dd"/>
    <numFmt numFmtId="170" formatCode="0.0%"/>
    <numFmt numFmtId="171" formatCode="0.000"/>
    <numFmt numFmtId="172" formatCode="[&gt;=1000000000]&quot;$&quot;#,##0.0,,,&quot;B&quot;;[&gt;=1000000]&quot;$&quot;#,##0.0,,&quot;M&quot;;&quot;$&quot;#,##0.0,&quot;K&quot;"/>
    <numFmt numFmtId="174" formatCode="&quot;$&quot;#,##0.00"/>
    <numFmt numFmtId="177" formatCode="[&gt;=1000000000]#,##0.0,,,&quot;B&quot;;[&gt;=1000000]#,##0.0,,&quot;M&quot;;#,##0,&quot;K&quot;"/>
  </numFmts>
  <fonts count="19" x14ac:knownFonts="1">
    <font>
      <sz val="11"/>
      <color theme="1"/>
      <name val="Calibri"/>
      <family val="2"/>
      <scheme val="minor"/>
    </font>
    <font>
      <sz val="11"/>
      <color theme="1"/>
      <name val="Calibri"/>
      <family val="2"/>
      <scheme val="minor"/>
    </font>
    <font>
      <sz val="18"/>
      <color theme="3"/>
      <name val="Calibri"/>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2065187536243"/>
        <bgColor indexed="65"/>
      </patternFill>
    </fill>
    <fill>
      <patternFill patternType="solid">
        <fgColor theme="4" tint="0.59993285927915285"/>
        <bgColor indexed="65"/>
      </patternFill>
    </fill>
    <fill>
      <patternFill patternType="solid">
        <fgColor theme="4" tint="0.39997558519241921"/>
        <bgColor indexed="65"/>
      </patternFill>
    </fill>
    <fill>
      <patternFill patternType="solid">
        <fgColor theme="5"/>
      </patternFill>
    </fill>
    <fill>
      <patternFill patternType="solid">
        <fgColor theme="5" tint="0.79992065187536243"/>
        <bgColor indexed="65"/>
      </patternFill>
    </fill>
    <fill>
      <patternFill patternType="solid">
        <fgColor theme="5" tint="0.59993285927915285"/>
        <bgColor indexed="65"/>
      </patternFill>
    </fill>
    <fill>
      <patternFill patternType="solid">
        <fgColor theme="5" tint="0.39997558519241921"/>
        <bgColor indexed="65"/>
      </patternFill>
    </fill>
    <fill>
      <patternFill patternType="solid">
        <fgColor theme="6"/>
      </patternFill>
    </fill>
    <fill>
      <patternFill patternType="solid">
        <fgColor theme="6" tint="0.79992065187536243"/>
        <bgColor indexed="65"/>
      </patternFill>
    </fill>
    <fill>
      <patternFill patternType="solid">
        <fgColor theme="6" tint="0.59993285927915285"/>
        <bgColor indexed="65"/>
      </patternFill>
    </fill>
    <fill>
      <patternFill patternType="solid">
        <fgColor theme="6" tint="0.39997558519241921"/>
        <bgColor indexed="65"/>
      </patternFill>
    </fill>
    <fill>
      <patternFill patternType="solid">
        <fgColor theme="7"/>
      </patternFill>
    </fill>
    <fill>
      <patternFill patternType="solid">
        <fgColor theme="7" tint="0.79992065187536243"/>
        <bgColor indexed="65"/>
      </patternFill>
    </fill>
    <fill>
      <patternFill patternType="solid">
        <fgColor theme="7" tint="0.59993285927915285"/>
        <bgColor indexed="65"/>
      </patternFill>
    </fill>
    <fill>
      <patternFill patternType="solid">
        <fgColor theme="7" tint="0.39997558519241921"/>
        <bgColor indexed="65"/>
      </patternFill>
    </fill>
    <fill>
      <patternFill patternType="solid">
        <fgColor theme="8"/>
      </patternFill>
    </fill>
    <fill>
      <patternFill patternType="solid">
        <fgColor theme="8" tint="0.79992065187536243"/>
        <bgColor indexed="65"/>
      </patternFill>
    </fill>
    <fill>
      <patternFill patternType="solid">
        <fgColor theme="8" tint="0.59993285927915285"/>
        <bgColor indexed="65"/>
      </patternFill>
    </fill>
    <fill>
      <patternFill patternType="solid">
        <fgColor theme="8" tint="0.39997558519241921"/>
        <bgColor indexed="65"/>
      </patternFill>
    </fill>
    <fill>
      <patternFill patternType="solid">
        <fgColor theme="9"/>
      </patternFill>
    </fill>
    <fill>
      <patternFill patternType="solid">
        <fgColor theme="9" tint="0.79992065187536243"/>
        <bgColor indexed="65"/>
      </patternFill>
    </fill>
    <fill>
      <patternFill patternType="solid">
        <fgColor theme="9" tint="0.59993285927915285"/>
        <bgColor indexed="65"/>
      </patternFill>
    </fill>
    <fill>
      <patternFill patternType="solid">
        <fgColor theme="9" tint="0.39997558519241921"/>
        <bgColor indexed="65"/>
      </patternFill>
    </fill>
    <fill>
      <patternFill patternType="solid">
        <fgColor theme="0" tint="-0.249977111117893"/>
        <bgColor indexed="64"/>
      </patternFill>
    </fill>
  </fills>
  <borders count="10">
    <border>
      <left/>
      <right/>
      <top/>
      <bottom/>
      <diagonal/>
    </border>
    <border>
      <left/>
      <right/>
      <top/>
      <bottom style="thick">
        <color theme="4"/>
      </bottom>
      <diagonal/>
    </border>
    <border>
      <left/>
      <right/>
      <top/>
      <bottom style="thick">
        <color theme="4" tint="0.49992370372631001"/>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xf numFmtId="0" fontId="3" fillId="0" borderId="1"/>
    <xf numFmtId="0" fontId="4" fillId="0" borderId="2"/>
    <xf numFmtId="0" fontId="5" fillId="0" borderId="3"/>
    <xf numFmtId="0" fontId="5" fillId="0" borderId="0"/>
    <xf numFmtId="0" fontId="6" fillId="2" borderId="0"/>
    <xf numFmtId="0" fontId="7" fillId="3" borderId="0"/>
    <xf numFmtId="0" fontId="8" fillId="4" borderId="0"/>
    <xf numFmtId="0" fontId="9" fillId="5" borderId="4"/>
    <xf numFmtId="0" fontId="10" fillId="6" borderId="5"/>
    <xf numFmtId="0" fontId="11" fillId="6" borderId="4"/>
    <xf numFmtId="0" fontId="12" fillId="0" borderId="6"/>
    <xf numFmtId="0" fontId="13" fillId="7" borderId="7"/>
    <xf numFmtId="0" fontId="14" fillId="0" borderId="0"/>
    <xf numFmtId="0" fontId="1" fillId="8" borderId="8"/>
    <xf numFmtId="0" fontId="15" fillId="0" borderId="0"/>
    <xf numFmtId="0" fontId="16" fillId="0" borderId="9"/>
    <xf numFmtId="0" fontId="17" fillId="9" borderId="0"/>
    <xf numFmtId="0" fontId="1" fillId="10" borderId="0"/>
    <xf numFmtId="0" fontId="1" fillId="11" borderId="0"/>
    <xf numFmtId="0" fontId="1" fillId="12" borderId="0"/>
    <xf numFmtId="0" fontId="17" fillId="13" borderId="0"/>
    <xf numFmtId="0" fontId="1" fillId="14" borderId="0"/>
    <xf numFmtId="0" fontId="1" fillId="15" borderId="0"/>
    <xf numFmtId="0" fontId="1" fillId="16" borderId="0"/>
    <xf numFmtId="0" fontId="17" fillId="17" borderId="0"/>
    <xf numFmtId="0" fontId="1" fillId="18" borderId="0"/>
    <xf numFmtId="0" fontId="1" fillId="19" borderId="0"/>
    <xf numFmtId="0" fontId="1" fillId="20" borderId="0"/>
    <xf numFmtId="0" fontId="17" fillId="21" borderId="0"/>
    <xf numFmtId="0" fontId="1" fillId="22" borderId="0"/>
    <xf numFmtId="0" fontId="1" fillId="23" borderId="0"/>
    <xf numFmtId="0" fontId="1" fillId="24" borderId="0"/>
    <xf numFmtId="0" fontId="17" fillId="25" borderId="0"/>
    <xf numFmtId="0" fontId="1" fillId="26" borderId="0"/>
    <xf numFmtId="0" fontId="1" fillId="27" borderId="0"/>
    <xf numFmtId="0" fontId="1" fillId="28" borderId="0"/>
    <xf numFmtId="0" fontId="17" fillId="29" borderId="0"/>
    <xf numFmtId="0" fontId="1" fillId="30" borderId="0"/>
    <xf numFmtId="0" fontId="1" fillId="31" borderId="0"/>
    <xf numFmtId="0" fontId="1" fillId="32" borderId="0"/>
    <xf numFmtId="43" fontId="1" fillId="0" borderId="0"/>
    <xf numFmtId="0" fontId="18" fillId="0" borderId="0" applyNumberFormat="0" applyFill="0" applyBorder="0" applyAlignment="0" applyProtection="0"/>
  </cellStyleXfs>
  <cellXfs count="36">
    <xf numFmtId="0" fontId="0" fillId="0" borderId="0" xfId="0"/>
    <xf numFmtId="14" fontId="0" fillId="0" borderId="0" xfId="0" applyNumberFormat="1"/>
    <xf numFmtId="8" fontId="0" fillId="0" borderId="0" xfId="0" applyNumberFormat="1"/>
    <xf numFmtId="3" fontId="0" fillId="0" borderId="0" xfId="0" applyNumberFormat="1"/>
    <xf numFmtId="15" fontId="0" fillId="0" borderId="0" xfId="0" applyNumberFormat="1"/>
    <xf numFmtId="6" fontId="0" fillId="0" borderId="0" xfId="0" applyNumberFormat="1"/>
    <xf numFmtId="164" fontId="0" fillId="0" borderId="0" xfId="42" applyNumberFormat="1" applyFont="1"/>
    <xf numFmtId="165" fontId="0" fillId="0" borderId="0" xfId="0" applyNumberFormat="1"/>
    <xf numFmtId="166" fontId="0" fillId="0" borderId="0" xfId="0" applyNumberFormat="1"/>
    <xf numFmtId="0" fontId="1" fillId="0" borderId="0" xfId="0" applyFont="1"/>
    <xf numFmtId="1" fontId="1" fillId="0" borderId="0" xfId="0" applyNumberFormat="1" applyFont="1"/>
    <xf numFmtId="165" fontId="1" fillId="0" borderId="0" xfId="0" applyNumberFormat="1" applyFont="1"/>
    <xf numFmtId="49" fontId="1" fillId="0" borderId="0" xfId="0" applyNumberFormat="1" applyFont="1"/>
    <xf numFmtId="14" fontId="1" fillId="0" borderId="0" xfId="0" applyNumberFormat="1" applyFont="1"/>
    <xf numFmtId="3" fontId="1" fillId="0" borderId="0" xfId="0" applyNumberFormat="1" applyFont="1"/>
    <xf numFmtId="167" fontId="1" fillId="0" borderId="0" xfId="0" applyNumberFormat="1" applyFont="1"/>
    <xf numFmtId="168" fontId="0" fillId="0" borderId="0" xfId="0" applyNumberFormat="1"/>
    <xf numFmtId="2" fontId="0" fillId="0" borderId="0" xfId="0" applyNumberFormat="1"/>
    <xf numFmtId="2" fontId="1" fillId="0" borderId="0" xfId="0" applyNumberFormat="1" applyFont="1"/>
    <xf numFmtId="49" fontId="0" fillId="0" borderId="0" xfId="0" applyNumberFormat="1"/>
    <xf numFmtId="169" fontId="0" fillId="0" borderId="0" xfId="0" applyNumberFormat="1"/>
    <xf numFmtId="1" fontId="0" fillId="0" borderId="0" xfId="0" applyNumberFormat="1"/>
    <xf numFmtId="170" fontId="0" fillId="0" borderId="0" xfId="0" applyNumberFormat="1"/>
    <xf numFmtId="171" fontId="0" fillId="0" borderId="0" xfId="0" applyNumberFormat="1"/>
    <xf numFmtId="168" fontId="1" fillId="0" borderId="0" xfId="0" applyNumberFormat="1" applyFont="1"/>
    <xf numFmtId="166" fontId="1" fillId="0" borderId="0" xfId="0" applyNumberFormat="1" applyFont="1"/>
    <xf numFmtId="3" fontId="1" fillId="0" borderId="0" xfId="42" applyNumberFormat="1"/>
    <xf numFmtId="0" fontId="0" fillId="33" borderId="0" xfId="0" applyFill="1"/>
    <xf numFmtId="167" fontId="0" fillId="0" borderId="0" xfId="0" applyNumberFormat="1"/>
    <xf numFmtId="172" fontId="0" fillId="0" borderId="0" xfId="0" applyNumberFormat="1"/>
    <xf numFmtId="17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center" vertical="center"/>
    </xf>
    <xf numFmtId="0" fontId="18" fillId="0" borderId="0" xfId="43"/>
    <xf numFmtId="177" fontId="0" fillId="0" borderId="0" xfId="0" applyNumberFormat="1"/>
  </cellXfs>
  <cellStyles count="44">
    <cellStyle name="20% - Accent1" xfId="19" xr:uid="{00000000-0005-0000-0000-000013000000}"/>
    <cellStyle name="20% - Accent2" xfId="23" xr:uid="{00000000-0005-0000-0000-000017000000}"/>
    <cellStyle name="20% - Accent3" xfId="27" xr:uid="{00000000-0005-0000-0000-00001B000000}"/>
    <cellStyle name="20% - Accent4" xfId="31" xr:uid="{00000000-0005-0000-0000-00001F000000}"/>
    <cellStyle name="20% - Accent5" xfId="35" xr:uid="{00000000-0005-0000-0000-000023000000}"/>
    <cellStyle name="20% - Accent6" xfId="39" xr:uid="{00000000-0005-0000-0000-000027000000}"/>
    <cellStyle name="40% - Accent1" xfId="20" xr:uid="{00000000-0005-0000-0000-000014000000}"/>
    <cellStyle name="40% - Accent2" xfId="24" xr:uid="{00000000-0005-0000-0000-000018000000}"/>
    <cellStyle name="40% - Accent3" xfId="28" xr:uid="{00000000-0005-0000-0000-00001C000000}"/>
    <cellStyle name="40% - Accent4" xfId="32" xr:uid="{00000000-0005-0000-0000-000020000000}"/>
    <cellStyle name="40% - Accent5" xfId="36" xr:uid="{00000000-0005-0000-0000-000024000000}"/>
    <cellStyle name="40% - Accent6" xfId="40" xr:uid="{00000000-0005-0000-0000-000028000000}"/>
    <cellStyle name="60% - Accent1" xfId="21" xr:uid="{00000000-0005-0000-0000-000015000000}"/>
    <cellStyle name="60% - Accent2" xfId="25" xr:uid="{00000000-0005-0000-0000-000019000000}"/>
    <cellStyle name="60% - Accent3" xfId="29" xr:uid="{00000000-0005-0000-0000-00001D000000}"/>
    <cellStyle name="60% - Accent4" xfId="33" xr:uid="{00000000-0005-0000-0000-000021000000}"/>
    <cellStyle name="60% - Accent5" xfId="37" xr:uid="{00000000-0005-0000-0000-000025000000}"/>
    <cellStyle name="60% - Accent6" xfId="41" xr:uid="{00000000-0005-0000-0000-000029000000}"/>
    <cellStyle name="Accent1" xfId="18" xr:uid="{00000000-0005-0000-0000-000012000000}"/>
    <cellStyle name="Accent2" xfId="22" xr:uid="{00000000-0005-0000-0000-000016000000}"/>
    <cellStyle name="Accent3" xfId="26" xr:uid="{00000000-0005-0000-0000-00001A000000}"/>
    <cellStyle name="Accent4" xfId="30" xr:uid="{00000000-0005-0000-0000-00001E000000}"/>
    <cellStyle name="Accent5" xfId="34" xr:uid="{00000000-0005-0000-0000-000022000000}"/>
    <cellStyle name="Accent6" xfId="38" xr:uid="{00000000-0005-0000-0000-000026000000}"/>
    <cellStyle name="Bad" xfId="7" xr:uid="{00000000-0005-0000-0000-000007000000}"/>
    <cellStyle name="Calculation" xfId="11" xr:uid="{00000000-0005-0000-0000-00000B000000}"/>
    <cellStyle name="Check Cell" xfId="13" xr:uid="{00000000-0005-0000-0000-00000D000000}"/>
    <cellStyle name="Comma" xfId="42" xr:uid="{00000000-0005-0000-0000-00002A000000}"/>
    <cellStyle name="Explanatory Text" xfId="16" xr:uid="{00000000-0005-0000-0000-000010000000}"/>
    <cellStyle name="Good" xfId="6" xr:uid="{00000000-0005-0000-0000-000006000000}"/>
    <cellStyle name="Heading 1" xfId="2" xr:uid="{00000000-0005-0000-0000-000002000000}"/>
    <cellStyle name="Heading 2" xfId="3" xr:uid="{00000000-0005-0000-0000-000003000000}"/>
    <cellStyle name="Heading 3" xfId="4" xr:uid="{00000000-0005-0000-0000-000004000000}"/>
    <cellStyle name="Heading 4" xfId="5" xr:uid="{00000000-0005-0000-0000-000005000000}"/>
    <cellStyle name="Hyperlink" xfId="43" builtinId="8"/>
    <cellStyle name="Input" xfId="9" xr:uid="{00000000-0005-0000-0000-000009000000}"/>
    <cellStyle name="Linked Cell" xfId="12" xr:uid="{00000000-0005-0000-0000-00000C000000}"/>
    <cellStyle name="Neutral" xfId="8" xr:uid="{00000000-0005-0000-0000-000008000000}"/>
    <cellStyle name="Normal" xfId="0" builtinId="0"/>
    <cellStyle name="Note" xfId="15" xr:uid="{00000000-0005-0000-0000-00000F000000}"/>
    <cellStyle name="Output" xfId="10" xr:uid="{00000000-0005-0000-0000-00000A000000}"/>
    <cellStyle name="Title" xfId="1" xr:uid="{00000000-0005-0000-0000-000001000000}"/>
    <cellStyle name="Total" xfId="17" xr:uid="{00000000-0005-0000-0000-000011000000}"/>
    <cellStyle name="Warning Text" xfId="14" xr:uid="{00000000-0005-0000-0000-00000E000000}"/>
  </cellStyles>
  <dxfs count="109">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177" formatCode="[&gt;=1000000000]#,##0.0,,,&quot;B&quot;;[&gt;=1000000]#,##0.0,,&quot;M&quot;;#,##0,&quot;K&quot;"/>
    </dxf>
    <dxf>
      <numFmt numFmtId="172" formatCode="[&gt;=1000000000]&quot;$&quot;#,##0.0,,,&quot;B&quot;;[&gt;=1000000]&quot;$&quot;#,##0.0,,&quot;M&quot;;&quot;$&quot;#,##0.0,&quot;K&quot;"/>
    </dxf>
    <dxf>
      <numFmt numFmtId="174" formatCode="&quot;$&quot;#,##0.00"/>
    </dxf>
    <dxf>
      <numFmt numFmtId="3" formatCode="#,##0"/>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2" formatCode="[&gt;=1000000000]&quot;$&quot;#,##0.0,,,&quot;B&quot;;[&gt;=1000000]&quot;$&quot;#,##0.0,,&quot;M&quot;;&quot;$&quot;#,##0.0,&quot;K&quot;"/>
    </dxf>
    <dxf>
      <numFmt numFmtId="174" formatCode="&quot;$&quot;#,##0.00"/>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2" formatCode="[&gt;=1000000000]&quot;$&quot;#,##0.0,,,&quot;B&quot;;[&gt;=1000000]&quot;$&quot;#,##0.0,,&quot;M&quot;;&quot;$&quot;#,##0.0,&quot;K&quot;"/>
    </dxf>
    <dxf>
      <numFmt numFmtId="174" formatCode="&quot;$&quot;#,##0.00"/>
    </dxf>
    <dxf>
      <numFmt numFmtId="177" formatCode="[&gt;=1000000000]#,##0.0,,,&quot;B&quot;;[&gt;=1000000]#,##0.0,,&quot;M&quot;;#,##0,&quot;K&quot;"/>
    </dxf>
    <dxf>
      <numFmt numFmtId="3" formatCode="#,##0"/>
    </dxf>
    <dxf>
      <numFmt numFmtId="172" formatCode="[&gt;=1000000000]&quot;$&quot;#,##0.0,,,&quot;B&quot;;[&gt;=1000000]&quot;$&quot;#,##0.0,,&quot;M&quot;;&quot;$&quot;#,##0.0,&quot;K&quot;"/>
    </dxf>
    <dxf>
      <numFmt numFmtId="174" formatCode="&quot;$&quot;#,##0.00"/>
    </dxf>
    <dxf>
      <numFmt numFmtId="177" formatCode="[&gt;=1000000000]#,##0.0,,,&quot;B&quot;;[&gt;=1000000]#,##0.0,,&quot;M&quot;;#,##0,&quot;K&quot;"/>
    </dxf>
    <dxf>
      <numFmt numFmtId="3" formatCode="#,##0"/>
    </dxf>
    <dxf>
      <numFmt numFmtId="172" formatCode="[&gt;=1000000000]&quot;$&quot;#,##0.0,,,&quot;B&quot;;[&gt;=1000000]&quot;$&quot;#,##0.0,,&quot;M&quot;;&quot;$&quot;#,##0.0,&quot;K&quot;"/>
    </dxf>
    <dxf>
      <numFmt numFmtId="174" formatCode="&quot;$&quot;#,##0.00"/>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3" formatCode="#,##0"/>
    </dxf>
    <dxf>
      <numFmt numFmtId="174" formatCode="&quot;$&quot;#,##0.00"/>
    </dxf>
    <dxf>
      <numFmt numFmtId="172" formatCode="[&gt;=1000000000]&quot;$&quot;#,##0.0,,,&quot;B&quot;;[&gt;=1000000]&quot;$&quot;#,##0.0,,&quot;M&quot;;&quot;$&quot;#,##0.0,&quot;K&quot;"/>
    </dxf>
    <dxf>
      <numFmt numFmtId="177" formatCode="[&gt;=1000000000]#,##0.0,,,&quot;B&quot;;[&gt;=1000000]#,##0.0,,&quot;M&quot;;#,##0,&quot;K&quot;"/>
    </dxf>
    <dxf>
      <numFmt numFmtId="177" formatCode="[&gt;=1000000000]#,##0.0,,,&quot;B&quot;;[&gt;=1000000]#,##0.0,,&quot;M&quot;;#,##0,&quot;K&quot;"/>
    </dxf>
    <dxf>
      <numFmt numFmtId="172" formatCode="[&gt;=1000000000]&quot;$&quot;#,##0.0,,,&quot;B&quot;;[&gt;=1000000]&quot;$&quot;#,##0.0,,&quot;M&quot;;&quot;$&quot;#,##0.0,&quot;K&quot;"/>
    </dxf>
    <dxf>
      <numFmt numFmtId="174" formatCode="&quot;$&quot;#,##0.00"/>
    </dxf>
    <dxf>
      <numFmt numFmtId="3" formatCode="#,##0"/>
    </dxf>
    <dxf>
      <numFmt numFmtId="172" formatCode="[&gt;=1000000000]&quot;$&quot;#,##0.0,,,&quot;B&quot;;[&gt;=1000000]&quot;$&quot;#,##0.0,,&quot;M&quot;;&quot;$&quot;#,##0.0,&quot;K&quot;"/>
    </dxf>
    <dxf>
      <numFmt numFmtId="177" formatCode="[&gt;=1000000000]#,##0.0,,,&quot;B&quot;;[&gt;=1000000]#,##0.0,,&quot;M&quot;;#,##0,&quot;K&quot;"/>
    </dxf>
    <dxf>
      <numFmt numFmtId="172" formatCode="[&gt;=1000000000]&quot;$&quot;#,##0.0,,,&quot;B&quot;;[&gt;=1000000]&quot;$&quot;#,##0.0,,&quot;M&quot;;&quot;$&quot;#,##0.0,&quot;K&quot;"/>
    </dxf>
    <dxf>
      <numFmt numFmtId="0" formatCode="General"/>
    </dxf>
    <dxf>
      <numFmt numFmtId="0" formatCode="General"/>
    </dxf>
    <dxf>
      <numFmt numFmtId="0" formatCode="General"/>
    </dxf>
    <dxf>
      <numFmt numFmtId="3" formatCode="#,##0"/>
    </dxf>
    <dxf>
      <numFmt numFmtId="174" formatCode="&quot;$&quot;#,##0.00"/>
    </dxf>
    <dxf>
      <numFmt numFmtId="172" formatCode="[&gt;=1000000000]&quot;$&quot;#,##0.0,,,&quot;B&quot;;[&gt;=1000000]&quot;$&quot;#,##0.0,,&quot;M&quot;;&quot;$&quot;#,##0.0,&quot;K&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microsoft.com/office/2007/relationships/slicerCache" Target="slicerCaches/slicerCache6.xml"/><Relationship Id="rId18" Type="http://schemas.microsoft.com/office/2020/07/relationships/rdRichValueWebImage" Target="richData/rdRichValueWebImage.xml"/><Relationship Id="rId3" Type="http://schemas.openxmlformats.org/officeDocument/2006/relationships/worksheet" Target="worksheets/sheet3.xml"/><Relationship Id="rId21" Type="http://schemas.microsoft.com/office/2017/06/relationships/rdRichValueTypes" Target="richData/rdRichValueTypes.xml"/><Relationship Id="rId7" Type="http://schemas.openxmlformats.org/officeDocument/2006/relationships/pivotCacheDefinition" Target="pivotCache/pivotCacheDefinition1.xml"/><Relationship Id="rId12" Type="http://schemas.microsoft.com/office/2007/relationships/slicerCache" Target="slicerCaches/slicerCache5.xml"/><Relationship Id="rId17"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sharedStrings" Target="sharedStrings.xml"/><Relationship Id="rId20"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4.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3.xml"/><Relationship Id="rId19" Type="http://schemas.microsoft.com/office/2017/06/relationships/rdRichValue" Target="richData/rdrichvalue.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theme" Target="theme/theme1.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[Video Game Consoles Dataset V7.xlsx]Pivot Tables!Top Consoles by Revenue</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What</a:t>
            </a:r>
            <a:r>
              <a:rPr lang="en-US" sz="1800" b="1" baseline="0"/>
              <a:t> are the Top Consoles by Revenue?</a:t>
            </a:r>
            <a:endParaRPr lang="en-US" sz="18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Tables'!$E$37</c:f>
              <c:strCache>
                <c:ptCount val="1"/>
                <c:pt idx="0">
                  <c:v>Total</c:v>
                </c:pt>
              </c:strCache>
            </c:strRef>
          </c:tx>
          <c:spPr>
            <a:solidFill>
              <a:schemeClr val="accent1"/>
            </a:solidFill>
            <a:ln>
              <a:noFill/>
            </a:ln>
            <a:effectLst/>
          </c:spPr>
          <c:invertIfNegative val="0"/>
          <c:cat>
            <c:strRef>
              <c:f>'Pivot Tables'!$D$38:$D$48</c:f>
              <c:strCache>
                <c:ptCount val="10"/>
                <c:pt idx="0">
                  <c:v>Game Boy Advance</c:v>
                </c:pt>
                <c:pt idx="1">
                  <c:v>Super Nintendo</c:v>
                </c:pt>
                <c:pt idx="2">
                  <c:v>Game Boy</c:v>
                </c:pt>
                <c:pt idx="3">
                  <c:v>NES</c:v>
                </c:pt>
                <c:pt idx="4">
                  <c:v>PlayStation Portable</c:v>
                </c:pt>
                <c:pt idx="5">
                  <c:v>Nintendo DS</c:v>
                </c:pt>
                <c:pt idx="6">
                  <c:v>Wii</c:v>
                </c:pt>
                <c:pt idx="7">
                  <c:v>PlayStation 1</c:v>
                </c:pt>
                <c:pt idx="8">
                  <c:v>PlayStation 3</c:v>
                </c:pt>
                <c:pt idx="9">
                  <c:v>PlayStation 2</c:v>
                </c:pt>
              </c:strCache>
            </c:strRef>
          </c:cat>
          <c:val>
            <c:numRef>
              <c:f>'Pivot Tables'!$E$38:$E$48</c:f>
              <c:numCache>
                <c:formatCode>\$#,##0</c:formatCode>
                <c:ptCount val="10"/>
                <c:pt idx="0">
                  <c:v>8069490000</c:v>
                </c:pt>
                <c:pt idx="1">
                  <c:v>9770900000</c:v>
                </c:pt>
                <c:pt idx="2">
                  <c:v>10563410000</c:v>
                </c:pt>
                <c:pt idx="3">
                  <c:v>12320090000</c:v>
                </c:pt>
                <c:pt idx="4">
                  <c:v>20547480000</c:v>
                </c:pt>
                <c:pt idx="5">
                  <c:v>22948980000</c:v>
                </c:pt>
                <c:pt idx="6">
                  <c:v>25305870000</c:v>
                </c:pt>
                <c:pt idx="7">
                  <c:v>30644510000</c:v>
                </c:pt>
                <c:pt idx="8">
                  <c:v>43612600000</c:v>
                </c:pt>
                <c:pt idx="9">
                  <c:v>47840000000</c:v>
                </c:pt>
              </c:numCache>
            </c:numRef>
          </c:val>
          <c:extLst>
            <c:ext xmlns:c16="http://schemas.microsoft.com/office/drawing/2014/chart" uri="{C3380CC4-5D6E-409C-BE32-E72D297353CC}">
              <c16:uniqueId val="{00000000-82BE-487C-821D-B88E7E479D85}"/>
            </c:ext>
          </c:extLst>
        </c:ser>
        <c:dLbls>
          <c:showLegendKey val="0"/>
          <c:showVal val="0"/>
          <c:showCatName val="0"/>
          <c:showSerName val="0"/>
          <c:showPercent val="0"/>
          <c:showBubbleSize val="0"/>
        </c:dLbls>
        <c:gapWidth val="182"/>
        <c:axId val="829893312"/>
        <c:axId val="829891872"/>
      </c:barChart>
      <c:catAx>
        <c:axId val="8298933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9891872"/>
        <c:crosses val="autoZero"/>
        <c:auto val="1"/>
        <c:lblAlgn val="ctr"/>
        <c:lblOffset val="100"/>
        <c:noMultiLvlLbl val="0"/>
      </c:catAx>
      <c:valAx>
        <c:axId val="829891872"/>
        <c:scaling>
          <c:orientation val="minMax"/>
          <c:max val="50000000000"/>
        </c:scaling>
        <c:delete val="0"/>
        <c:axPos val="b"/>
        <c:majorGridlines>
          <c:spPr>
            <a:ln w="9525" cap="flat" cmpd="sng" algn="ctr">
              <a:solidFill>
                <a:schemeClr val="tx1">
                  <a:lumMod val="15000"/>
                  <a:lumOff val="85000"/>
                </a:schemeClr>
              </a:solidFill>
              <a:round/>
            </a:ln>
            <a:effectLst/>
          </c:spPr>
        </c:majorGridlines>
        <c:numFmt formatCode="[&gt;=1000000000]&quot;$&quot;#,##0,,,&quot; B&quot;;[&gt;=1000000]&quot;$&quot;#,##0,,&quot; M&quot;;&quot;$&quot;#,##0,&quot; 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989331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[Video Game Consoles Dataset V7.xlsx]Pivot Tables!Top Consoles by Units 2</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What</a:t>
            </a:r>
            <a:r>
              <a:rPr lang="en-US" sz="1800" b="1" baseline="0"/>
              <a:t> are the Top Consoles by Units Sold?</a:t>
            </a:r>
            <a:endParaRPr lang="en-US" sz="18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Tables'!$E$52</c:f>
              <c:strCache>
                <c:ptCount val="1"/>
                <c:pt idx="0">
                  <c:v>Total</c:v>
                </c:pt>
              </c:strCache>
            </c:strRef>
          </c:tx>
          <c:spPr>
            <a:solidFill>
              <a:schemeClr val="accent1"/>
            </a:solidFill>
            <a:ln>
              <a:noFill/>
            </a:ln>
            <a:effectLst/>
          </c:spPr>
          <c:invertIfNegative val="0"/>
          <c:cat>
            <c:strRef>
              <c:f>'Pivot Tables'!$D$53:$D$63</c:f>
              <c:strCache>
                <c:ptCount val="10"/>
                <c:pt idx="0">
                  <c:v>Super Nintendo</c:v>
                </c:pt>
                <c:pt idx="1">
                  <c:v>NES</c:v>
                </c:pt>
                <c:pt idx="2">
                  <c:v>Game Boy Advance</c:v>
                </c:pt>
                <c:pt idx="3">
                  <c:v>PlayStation Portable</c:v>
                </c:pt>
                <c:pt idx="4">
                  <c:v>PlayStation 3</c:v>
                </c:pt>
                <c:pt idx="5">
                  <c:v>Wii</c:v>
                </c:pt>
                <c:pt idx="6">
                  <c:v>PlayStation 1</c:v>
                </c:pt>
                <c:pt idx="7">
                  <c:v>Game Boy</c:v>
                </c:pt>
                <c:pt idx="8">
                  <c:v>Nintendo DS</c:v>
                </c:pt>
                <c:pt idx="9">
                  <c:v>PlayStation 2</c:v>
                </c:pt>
              </c:strCache>
            </c:strRef>
          </c:cat>
          <c:val>
            <c:numRef>
              <c:f>'Pivot Tables'!$E$53:$E$63</c:f>
              <c:numCache>
                <c:formatCode>#,##0</c:formatCode>
                <c:ptCount val="10"/>
                <c:pt idx="0">
                  <c:v>49100000</c:v>
                </c:pt>
                <c:pt idx="1">
                  <c:v>61910000</c:v>
                </c:pt>
                <c:pt idx="2">
                  <c:v>81510000</c:v>
                </c:pt>
                <c:pt idx="3">
                  <c:v>82520000</c:v>
                </c:pt>
                <c:pt idx="4">
                  <c:v>87400000</c:v>
                </c:pt>
                <c:pt idx="5">
                  <c:v>101630000</c:v>
                </c:pt>
                <c:pt idx="6">
                  <c:v>102490000</c:v>
                </c:pt>
                <c:pt idx="7">
                  <c:v>118690000</c:v>
                </c:pt>
                <c:pt idx="8">
                  <c:v>154020000</c:v>
                </c:pt>
                <c:pt idx="9">
                  <c:v>160000000</c:v>
                </c:pt>
              </c:numCache>
            </c:numRef>
          </c:val>
          <c:extLst>
            <c:ext xmlns:c16="http://schemas.microsoft.com/office/drawing/2014/chart" uri="{C3380CC4-5D6E-409C-BE32-E72D297353CC}">
              <c16:uniqueId val="{00000000-BD49-4913-8447-A92AA8935588}"/>
            </c:ext>
          </c:extLst>
        </c:ser>
        <c:dLbls>
          <c:showLegendKey val="0"/>
          <c:showVal val="0"/>
          <c:showCatName val="0"/>
          <c:showSerName val="0"/>
          <c:showPercent val="0"/>
          <c:showBubbleSize val="0"/>
        </c:dLbls>
        <c:gapWidth val="219"/>
        <c:axId val="519656223"/>
        <c:axId val="519656703"/>
      </c:barChart>
      <c:catAx>
        <c:axId val="5196562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9656703"/>
        <c:crosses val="autoZero"/>
        <c:auto val="1"/>
        <c:lblAlgn val="ctr"/>
        <c:lblOffset val="100"/>
        <c:noMultiLvlLbl val="0"/>
      </c:catAx>
      <c:valAx>
        <c:axId val="519656703"/>
        <c:scaling>
          <c:orientation val="minMax"/>
        </c:scaling>
        <c:delete val="0"/>
        <c:axPos val="b"/>
        <c:majorGridlines>
          <c:spPr>
            <a:ln w="9525" cap="flat" cmpd="sng" algn="ctr">
              <a:solidFill>
                <a:schemeClr val="tx1">
                  <a:lumMod val="15000"/>
                  <a:lumOff val="85000"/>
                </a:schemeClr>
              </a:solidFill>
              <a:round/>
            </a:ln>
            <a:effectLst/>
          </c:spPr>
        </c:majorGridlines>
        <c:numFmt formatCode="[&gt;=1000000000]#,##0,,,&quot; B&quot;;[&gt;=1000000]#,##0,,&quot; M&quot;;#,##0,&quot; 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965622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[Video Game Consoles Dataset V7.xlsx]Pivot Tables!Unit Share by Manufacturer</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What</a:t>
            </a:r>
            <a:r>
              <a:rPr lang="en-US" b="1" baseline="0"/>
              <a:t> are the Unit Shares by Manufacturer?</a:t>
            </a:r>
            <a:endParaRPr lang="en-US" b="1"/>
          </a:p>
        </c:rich>
      </c:tx>
      <c:layout>
        <c:manualLayout>
          <c:xMode val="edge"/>
          <c:yMode val="edge"/>
          <c:x val="0.14196317337438516"/>
          <c:y val="8.678797031252877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noFill/>
          </a:ln>
          <a:effectLst/>
        </c:spPr>
        <c:marker>
          <c:symbol val="none"/>
        </c:marker>
        <c:dLbl>
          <c:idx val="0"/>
          <c:spPr>
            <a:noFill/>
            <a:ln>
              <a:noFill/>
            </a:ln>
            <a:effectLst>
              <a:softEdge rad="50800"/>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rgbClr val="00B050"/>
          </a:solidFill>
          <a:ln w="19050">
            <a:noFill/>
          </a:ln>
          <a:effectLst/>
        </c:spPr>
      </c:pivotFmt>
      <c:pivotFmt>
        <c:idx val="8"/>
        <c:spPr>
          <a:solidFill>
            <a:srgbClr val="FF0000"/>
          </a:solidFill>
          <a:ln w="19050">
            <a:noFill/>
          </a:ln>
          <a:effectLst/>
        </c:spPr>
      </c:pivotFmt>
      <c:pivotFmt>
        <c:idx val="9"/>
        <c:spPr>
          <a:solidFill>
            <a:srgbClr val="002060"/>
          </a:solidFill>
          <a:ln w="19050">
            <a:noFill/>
          </a:ln>
          <a:effectLst/>
        </c:spPr>
      </c:pivotFmt>
      <c:pivotFmt>
        <c:idx val="10"/>
        <c:spPr>
          <a:solidFill>
            <a:srgbClr val="0070C0"/>
          </a:solidFill>
          <a:ln w="19050">
            <a:noFill/>
          </a:ln>
          <a:effectLst/>
        </c:spPr>
      </c:pivotFmt>
    </c:pivotFmts>
    <c:plotArea>
      <c:layout/>
      <c:doughnutChart>
        <c:varyColors val="1"/>
        <c:ser>
          <c:idx val="0"/>
          <c:order val="0"/>
          <c:tx>
            <c:strRef>
              <c:f>'Pivot Tables'!$J$37</c:f>
              <c:strCache>
                <c:ptCount val="1"/>
                <c:pt idx="0">
                  <c:v>Total</c:v>
                </c:pt>
              </c:strCache>
            </c:strRef>
          </c:tx>
          <c:spPr>
            <a:ln>
              <a:noFill/>
            </a:ln>
          </c:spPr>
          <c:dPt>
            <c:idx val="0"/>
            <c:bubble3D val="0"/>
            <c:spPr>
              <a:solidFill>
                <a:srgbClr val="FF0000"/>
              </a:solidFill>
              <a:ln w="19050">
                <a:noFill/>
              </a:ln>
              <a:effectLst/>
            </c:spPr>
            <c:extLst>
              <c:ext xmlns:c16="http://schemas.microsoft.com/office/drawing/2014/chart" uri="{C3380CC4-5D6E-409C-BE32-E72D297353CC}">
                <c16:uniqueId val="{00000001-8721-4C3E-8DB3-37CFEAE306E5}"/>
              </c:ext>
            </c:extLst>
          </c:dPt>
          <c:dPt>
            <c:idx val="1"/>
            <c:bubble3D val="0"/>
            <c:spPr>
              <a:solidFill>
                <a:srgbClr val="0070C0"/>
              </a:solidFill>
              <a:ln w="19050">
                <a:noFill/>
              </a:ln>
              <a:effectLst/>
            </c:spPr>
            <c:extLst>
              <c:ext xmlns:c16="http://schemas.microsoft.com/office/drawing/2014/chart" uri="{C3380CC4-5D6E-409C-BE32-E72D297353CC}">
                <c16:uniqueId val="{00000003-8721-4C3E-8DB3-37CFEAE306E5}"/>
              </c:ext>
            </c:extLst>
          </c:dPt>
          <c:dPt>
            <c:idx val="2"/>
            <c:bubble3D val="0"/>
            <c:spPr>
              <a:solidFill>
                <a:srgbClr val="002060"/>
              </a:solidFill>
              <a:ln w="19050">
                <a:noFill/>
              </a:ln>
              <a:effectLst/>
            </c:spPr>
            <c:extLst>
              <c:ext xmlns:c16="http://schemas.microsoft.com/office/drawing/2014/chart" uri="{C3380CC4-5D6E-409C-BE32-E72D297353CC}">
                <c16:uniqueId val="{00000005-8721-4C3E-8DB3-37CFEAE306E5}"/>
              </c:ext>
            </c:extLst>
          </c:dPt>
          <c:dPt>
            <c:idx val="3"/>
            <c:bubble3D val="0"/>
            <c:spPr>
              <a:solidFill>
                <a:srgbClr val="00B050"/>
              </a:solidFill>
              <a:ln w="19050">
                <a:noFill/>
              </a:ln>
              <a:effectLst/>
            </c:spPr>
            <c:extLst>
              <c:ext xmlns:c16="http://schemas.microsoft.com/office/drawing/2014/chart" uri="{C3380CC4-5D6E-409C-BE32-E72D297353CC}">
                <c16:uniqueId val="{00000007-8721-4C3E-8DB3-37CFEAE306E5}"/>
              </c:ext>
            </c:extLst>
          </c:dPt>
          <c:dLbls>
            <c:spPr>
              <a:noFill/>
              <a:ln>
                <a:noFill/>
              </a:ln>
              <a:effectLst>
                <a:softEdge rad="50800"/>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Tables'!$I$38:$I$42</c:f>
              <c:strCache>
                <c:ptCount val="4"/>
                <c:pt idx="0">
                  <c:v>Nintendo</c:v>
                </c:pt>
                <c:pt idx="1">
                  <c:v>Sony</c:v>
                </c:pt>
                <c:pt idx="2">
                  <c:v>Sega</c:v>
                </c:pt>
                <c:pt idx="3">
                  <c:v>Microsoft</c:v>
                </c:pt>
              </c:strCache>
            </c:strRef>
          </c:cat>
          <c:val>
            <c:numRef>
              <c:f>'Pivot Tables'!$J$38:$J$42</c:f>
              <c:numCache>
                <c:formatCode>#,##0</c:formatCode>
                <c:ptCount val="4"/>
                <c:pt idx="0">
                  <c:v>635090000</c:v>
                </c:pt>
                <c:pt idx="1">
                  <c:v>432410000</c:v>
                </c:pt>
                <c:pt idx="2">
                  <c:v>49140000</c:v>
                </c:pt>
                <c:pt idx="3">
                  <c:v>24000000</c:v>
                </c:pt>
              </c:numCache>
            </c:numRef>
          </c:val>
          <c:extLst>
            <c:ext xmlns:c16="http://schemas.microsoft.com/office/drawing/2014/chart" uri="{C3380CC4-5D6E-409C-BE32-E72D297353CC}">
              <c16:uniqueId val="{00000008-8721-4C3E-8DB3-37CFEAE306E5}"/>
            </c:ext>
          </c:extLst>
        </c:ser>
        <c:dLbls>
          <c:showLegendKey val="0"/>
          <c:showVal val="0"/>
          <c:showCatName val="0"/>
          <c:showSerName val="0"/>
          <c:showPercent val="0"/>
          <c:showBubbleSize val="0"/>
          <c:showLeaderLines val="1"/>
        </c:dLbls>
        <c:firstSliceAng val="0"/>
        <c:holeSize val="6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[Video Game Consoles Dataset V7.xlsx]Pivot Tables!Revenue Share by Manufacturer</c:name>
    <c:fmtId val="2"/>
  </c:pivotSource>
  <c:chart>
    <c:title>
      <c:tx>
        <c:rich>
          <a:bodyPr rot="0" spcFirstLastPara="1" vertOverflow="ellipsis" vert="horz" wrap="square" anchor="ctr" anchorCtr="1"/>
          <a:lstStyle/>
          <a:p>
            <a:pPr algn="ctr" rtl="0">
              <a:defRPr lang="en-US"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spc="0" baseline="0">
                <a:solidFill>
                  <a:sysClr val="windowText" lastClr="000000">
                    <a:lumMod val="65000"/>
                    <a:lumOff val="35000"/>
                  </a:sysClr>
                </a:solidFill>
                <a:latin typeface="+mn-lt"/>
                <a:ea typeface="+mn-ea"/>
                <a:cs typeface="+mn-cs"/>
              </a:rPr>
              <a:t>What are the Revenue Shares by Manufacturer?</a:t>
            </a:r>
          </a:p>
        </c:rich>
      </c:tx>
      <c:layout>
        <c:manualLayout>
          <c:xMode val="edge"/>
          <c:yMode val="edge"/>
          <c:x val="0.15946957148338436"/>
          <c:y val="7.1686729986071063E-2"/>
        </c:manualLayout>
      </c:layout>
      <c:overlay val="0"/>
      <c:spPr>
        <a:noFill/>
        <a:ln>
          <a:noFill/>
        </a:ln>
        <a:effectLst/>
      </c:spPr>
      <c:txPr>
        <a:bodyPr rot="0" spcFirstLastPara="1" vertOverflow="ellipsis" vert="horz" wrap="square" anchor="ctr" anchorCtr="1"/>
        <a:lstStyle/>
        <a:p>
          <a:pPr algn="ctr" rtl="0">
            <a:defRPr lang="en-US"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rgbClr val="00B050"/>
          </a:solidFill>
          <a:ln w="19050">
            <a:noFill/>
          </a:ln>
          <a:effectLst/>
        </c:spPr>
      </c:pivotFmt>
      <c:pivotFmt>
        <c:idx val="8"/>
        <c:spPr>
          <a:solidFill>
            <a:srgbClr val="FF0000"/>
          </a:solidFill>
          <a:ln w="19050">
            <a:noFill/>
          </a:ln>
          <a:effectLst/>
        </c:spPr>
      </c:pivotFmt>
      <c:pivotFmt>
        <c:idx val="9"/>
        <c:spPr>
          <a:solidFill>
            <a:srgbClr val="002060"/>
          </a:solidFill>
          <a:ln w="19050">
            <a:noFill/>
          </a:ln>
          <a:effectLst/>
        </c:spPr>
      </c:pivotFmt>
      <c:pivotFmt>
        <c:idx val="10"/>
        <c:spPr>
          <a:solidFill>
            <a:srgbClr val="0070C0"/>
          </a:solidFill>
          <a:ln w="19050">
            <a:noFill/>
          </a:ln>
          <a:effectLst/>
        </c:spPr>
      </c:pivotFmt>
    </c:pivotFmts>
    <c:plotArea>
      <c:layout/>
      <c:doughnutChart>
        <c:varyColors val="1"/>
        <c:ser>
          <c:idx val="0"/>
          <c:order val="0"/>
          <c:tx>
            <c:strRef>
              <c:f>'Pivot Tables'!$J$45</c:f>
              <c:strCache>
                <c:ptCount val="1"/>
                <c:pt idx="0">
                  <c:v>Total</c:v>
                </c:pt>
              </c:strCache>
            </c:strRef>
          </c:tx>
          <c:spPr>
            <a:ln>
              <a:noFill/>
            </a:ln>
          </c:spPr>
          <c:dPt>
            <c:idx val="0"/>
            <c:bubble3D val="0"/>
            <c:spPr>
              <a:solidFill>
                <a:srgbClr val="0070C0"/>
              </a:solidFill>
              <a:ln w="19050">
                <a:noFill/>
              </a:ln>
              <a:effectLst/>
            </c:spPr>
            <c:extLst>
              <c:ext xmlns:c16="http://schemas.microsoft.com/office/drawing/2014/chart" uri="{C3380CC4-5D6E-409C-BE32-E72D297353CC}">
                <c16:uniqueId val="{00000001-86E4-47CE-8A9D-32C6D8629E50}"/>
              </c:ext>
            </c:extLst>
          </c:dPt>
          <c:dPt>
            <c:idx val="1"/>
            <c:bubble3D val="0"/>
            <c:spPr>
              <a:solidFill>
                <a:srgbClr val="FF0000"/>
              </a:solidFill>
              <a:ln w="19050">
                <a:noFill/>
              </a:ln>
              <a:effectLst/>
            </c:spPr>
            <c:extLst>
              <c:ext xmlns:c16="http://schemas.microsoft.com/office/drawing/2014/chart" uri="{C3380CC4-5D6E-409C-BE32-E72D297353CC}">
                <c16:uniqueId val="{00000003-86E4-47CE-8A9D-32C6D8629E50}"/>
              </c:ext>
            </c:extLst>
          </c:dPt>
          <c:dPt>
            <c:idx val="2"/>
            <c:bubble3D val="0"/>
            <c:spPr>
              <a:solidFill>
                <a:srgbClr val="002060"/>
              </a:solidFill>
              <a:ln w="19050">
                <a:noFill/>
              </a:ln>
              <a:effectLst/>
            </c:spPr>
            <c:extLst>
              <c:ext xmlns:c16="http://schemas.microsoft.com/office/drawing/2014/chart" uri="{C3380CC4-5D6E-409C-BE32-E72D297353CC}">
                <c16:uniqueId val="{00000005-86E4-47CE-8A9D-32C6D8629E50}"/>
              </c:ext>
            </c:extLst>
          </c:dPt>
          <c:dPt>
            <c:idx val="3"/>
            <c:bubble3D val="0"/>
            <c:spPr>
              <a:solidFill>
                <a:srgbClr val="00B050"/>
              </a:solidFill>
              <a:ln w="19050">
                <a:noFill/>
              </a:ln>
              <a:effectLst/>
            </c:spPr>
            <c:extLst>
              <c:ext xmlns:c16="http://schemas.microsoft.com/office/drawing/2014/chart" uri="{C3380CC4-5D6E-409C-BE32-E72D297353CC}">
                <c16:uniqueId val="{00000007-86E4-47CE-8A9D-32C6D8629E50}"/>
              </c:ext>
            </c:extLst>
          </c:dPt>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Tables'!$I$46:$I$50</c:f>
              <c:strCache>
                <c:ptCount val="4"/>
                <c:pt idx="0">
                  <c:v>Sony</c:v>
                </c:pt>
                <c:pt idx="1">
                  <c:v>Nintendo</c:v>
                </c:pt>
                <c:pt idx="2">
                  <c:v>Sega</c:v>
                </c:pt>
                <c:pt idx="3">
                  <c:v>Microsoft</c:v>
                </c:pt>
              </c:strCache>
            </c:strRef>
          </c:cat>
          <c:val>
            <c:numRef>
              <c:f>'Pivot Tables'!$J$46:$J$50</c:f>
              <c:numCache>
                <c:formatCode>\$#,##0</c:formatCode>
                <c:ptCount val="4"/>
                <c:pt idx="0">
                  <c:v>142644590000</c:v>
                </c:pt>
                <c:pt idx="1">
                  <c:v>103912510000</c:v>
                </c:pt>
                <c:pt idx="2">
                  <c:v>11323360000</c:v>
                </c:pt>
                <c:pt idx="3">
                  <c:v>7176000000</c:v>
                </c:pt>
              </c:numCache>
            </c:numRef>
          </c:val>
          <c:extLst>
            <c:ext xmlns:c16="http://schemas.microsoft.com/office/drawing/2014/chart" uri="{C3380CC4-5D6E-409C-BE32-E72D297353CC}">
              <c16:uniqueId val="{00000008-86E4-47CE-8A9D-32C6D8629E50}"/>
            </c:ext>
          </c:extLst>
        </c:ser>
        <c:dLbls>
          <c:showLegendKey val="0"/>
          <c:showVal val="0"/>
          <c:showCatName val="0"/>
          <c:showSerName val="0"/>
          <c:showPercent val="0"/>
          <c:showBubbleSize val="0"/>
          <c:showLeaderLines val="1"/>
        </c:dLbls>
        <c:firstSliceAng val="0"/>
        <c:holeSize val="6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[Video Game Consoles Dataset V7.xlsx]Pivot Tables!Generation Performance</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t>What are the Revenue</a:t>
            </a:r>
            <a:r>
              <a:rPr lang="en-US" sz="1400" b="1" baseline="0"/>
              <a:t> and Units Sold by Generation?</a:t>
            </a:r>
            <a:endParaRPr lang="en-US" sz="14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Tables'!$J$53</c:f>
              <c:strCache>
                <c:ptCount val="1"/>
                <c:pt idx="0">
                  <c:v>Estimated Hardware Revenue</c:v>
                </c:pt>
              </c:strCache>
            </c:strRef>
          </c:tx>
          <c:spPr>
            <a:solidFill>
              <a:schemeClr val="accent1"/>
            </a:solidFill>
            <a:ln>
              <a:noFill/>
            </a:ln>
            <a:effectLst/>
          </c:spPr>
          <c:invertIfNegative val="0"/>
          <c:cat>
            <c:strRef>
              <c:f>'Pivot Tables'!$I$54:$I$60</c:f>
              <c:strCache>
                <c:ptCount val="6"/>
                <c:pt idx="0">
                  <c:v>3rd Gen</c:v>
                </c:pt>
                <c:pt idx="1">
                  <c:v>4th Gen</c:v>
                </c:pt>
                <c:pt idx="2">
                  <c:v>5th Gen</c:v>
                </c:pt>
                <c:pt idx="3">
                  <c:v>6th Gen</c:v>
                </c:pt>
                <c:pt idx="4">
                  <c:v>7th Gen</c:v>
                </c:pt>
                <c:pt idx="5">
                  <c:v>8th Gen</c:v>
                </c:pt>
              </c:strCache>
            </c:strRef>
          </c:cat>
          <c:val>
            <c:numRef>
              <c:f>'Pivot Tables'!$J$54:$J$60</c:f>
              <c:numCache>
                <c:formatCode>\$#,##0</c:formatCode>
                <c:ptCount val="6"/>
                <c:pt idx="0">
                  <c:v>12320090000</c:v>
                </c:pt>
                <c:pt idx="1">
                  <c:v>26146060000</c:v>
                </c:pt>
                <c:pt idx="2">
                  <c:v>40892320000</c:v>
                </c:pt>
                <c:pt idx="3">
                  <c:v>69228620000</c:v>
                </c:pt>
                <c:pt idx="4">
                  <c:v>112414930000</c:v>
                </c:pt>
                <c:pt idx="5">
                  <c:v>4054440000</c:v>
                </c:pt>
              </c:numCache>
            </c:numRef>
          </c:val>
          <c:extLst>
            <c:ext xmlns:c16="http://schemas.microsoft.com/office/drawing/2014/chart" uri="{C3380CC4-5D6E-409C-BE32-E72D297353CC}">
              <c16:uniqueId val="{00000000-429C-4462-848C-6F5441A4A71E}"/>
            </c:ext>
          </c:extLst>
        </c:ser>
        <c:dLbls>
          <c:showLegendKey val="0"/>
          <c:showVal val="0"/>
          <c:showCatName val="0"/>
          <c:showSerName val="0"/>
          <c:showPercent val="0"/>
          <c:showBubbleSize val="0"/>
        </c:dLbls>
        <c:gapWidth val="150"/>
        <c:axId val="1086897072"/>
        <c:axId val="1086885552"/>
      </c:barChart>
      <c:lineChart>
        <c:grouping val="standard"/>
        <c:varyColors val="0"/>
        <c:ser>
          <c:idx val="1"/>
          <c:order val="1"/>
          <c:tx>
            <c:strRef>
              <c:f>'Pivot Tables'!$K$53</c:f>
              <c:strCache>
                <c:ptCount val="1"/>
                <c:pt idx="0">
                  <c:v>Hardware Units Sold</c:v>
                </c:pt>
              </c:strCache>
            </c:strRef>
          </c:tx>
          <c:spPr>
            <a:ln w="28575" cap="rnd">
              <a:solidFill>
                <a:srgbClr val="FF0000"/>
              </a:solidFill>
              <a:round/>
            </a:ln>
            <a:effectLst/>
          </c:spPr>
          <c:marker>
            <c:symbol val="none"/>
          </c:marker>
          <c:cat>
            <c:strRef>
              <c:f>'Pivot Tables'!$I$54:$I$60</c:f>
              <c:strCache>
                <c:ptCount val="6"/>
                <c:pt idx="0">
                  <c:v>3rd Gen</c:v>
                </c:pt>
                <c:pt idx="1">
                  <c:v>4th Gen</c:v>
                </c:pt>
                <c:pt idx="2">
                  <c:v>5th Gen</c:v>
                </c:pt>
                <c:pt idx="3">
                  <c:v>6th Gen</c:v>
                </c:pt>
                <c:pt idx="4">
                  <c:v>7th Gen</c:v>
                </c:pt>
                <c:pt idx="5">
                  <c:v>8th Gen</c:v>
                </c:pt>
              </c:strCache>
            </c:strRef>
          </c:cat>
          <c:val>
            <c:numRef>
              <c:f>'Pivot Tables'!$K$54:$K$60</c:f>
              <c:numCache>
                <c:formatCode>#,##0</c:formatCode>
                <c:ptCount val="6"/>
                <c:pt idx="0">
                  <c:v>61910000</c:v>
                </c:pt>
                <c:pt idx="1">
                  <c:v>198540000</c:v>
                </c:pt>
                <c:pt idx="2">
                  <c:v>144680000</c:v>
                </c:pt>
                <c:pt idx="3">
                  <c:v>296380000</c:v>
                </c:pt>
                <c:pt idx="4">
                  <c:v>425570000</c:v>
                </c:pt>
                <c:pt idx="5">
                  <c:v>13560000</c:v>
                </c:pt>
              </c:numCache>
            </c:numRef>
          </c:val>
          <c:smooth val="0"/>
          <c:extLst>
            <c:ext xmlns:c16="http://schemas.microsoft.com/office/drawing/2014/chart" uri="{C3380CC4-5D6E-409C-BE32-E72D297353CC}">
              <c16:uniqueId val="{00000001-429C-4462-848C-6F5441A4A71E}"/>
            </c:ext>
          </c:extLst>
        </c:ser>
        <c:dLbls>
          <c:showLegendKey val="0"/>
          <c:showVal val="0"/>
          <c:showCatName val="0"/>
          <c:showSerName val="0"/>
          <c:showPercent val="0"/>
          <c:showBubbleSize val="0"/>
        </c:dLbls>
        <c:marker val="1"/>
        <c:smooth val="0"/>
        <c:axId val="1086897552"/>
        <c:axId val="1086880752"/>
      </c:lineChart>
      <c:catAx>
        <c:axId val="1086897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6885552"/>
        <c:crosses val="autoZero"/>
        <c:auto val="1"/>
        <c:lblAlgn val="ctr"/>
        <c:lblOffset val="100"/>
        <c:noMultiLvlLbl val="0"/>
      </c:catAx>
      <c:valAx>
        <c:axId val="108688555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6897072"/>
        <c:crosses val="autoZero"/>
        <c:crossBetween val="between"/>
      </c:valAx>
      <c:valAx>
        <c:axId val="1086880752"/>
        <c:scaling>
          <c:orientation val="minMax"/>
        </c:scaling>
        <c:delete val="0"/>
        <c:axPos val="r"/>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6897552"/>
        <c:crosses val="max"/>
        <c:crossBetween val="between"/>
      </c:valAx>
      <c:catAx>
        <c:axId val="1086897552"/>
        <c:scaling>
          <c:orientation val="minMax"/>
        </c:scaling>
        <c:delete val="1"/>
        <c:axPos val="b"/>
        <c:numFmt formatCode="General" sourceLinked="1"/>
        <c:majorTickMark val="none"/>
        <c:minorTickMark val="none"/>
        <c:tickLblPos val="nextTo"/>
        <c:crossAx val="1086880752"/>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What are the Console Units vs Revenue?</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lotArea>
      <c:layout/>
      <c:scatterChart>
        <c:scatterStyle val="lineMarker"/>
        <c:varyColors val="0"/>
        <c:ser>
          <c:idx val="0"/>
          <c:order val="0"/>
          <c:tx>
            <c:strRef>
              <c:f>'Cleaned - Video Game Data'!$L$1</c:f>
              <c:strCache>
                <c:ptCount val="1"/>
                <c:pt idx="0">
                  <c:v>Estimated Hardware Revenue (proxy) (Global USD)</c:v>
                </c:pt>
              </c:strCache>
            </c:strRef>
          </c:tx>
          <c:spPr>
            <a:ln w="38100" cap="rnd">
              <a:noFill/>
              <a:round/>
            </a:ln>
            <a:effectLst/>
          </c:spPr>
          <c:marker>
            <c:symbol val="circle"/>
            <c:size val="5"/>
            <c:spPr>
              <a:solidFill>
                <a:schemeClr val="accent1"/>
              </a:solidFill>
              <a:ln w="9525">
                <a:solidFill>
                  <a:schemeClr val="accent1"/>
                </a:solidFill>
              </a:ln>
              <a:effectLst/>
            </c:spPr>
          </c:marker>
          <c:xVal>
            <c:numRef>
              <c:f>'Cleaned - Video Game Data'!$K$2:$K$28</c:f>
              <c:numCache>
                <c:formatCode>#,##0</c:formatCode>
                <c:ptCount val="27"/>
                <c:pt idx="0">
                  <c:v>9130000</c:v>
                </c:pt>
                <c:pt idx="1">
                  <c:v>118690000</c:v>
                </c:pt>
                <c:pt idx="2">
                  <c:v>81510000</c:v>
                </c:pt>
                <c:pt idx="3">
                  <c:v>10620000</c:v>
                </c:pt>
                <c:pt idx="4">
                  <c:v>21740000</c:v>
                </c:pt>
                <c:pt idx="5">
                  <c:v>30750000</c:v>
                </c:pt>
                <c:pt idx="6">
                  <c:v>61910000</c:v>
                </c:pt>
                <c:pt idx="7">
                  <c:v>75940000</c:v>
                </c:pt>
                <c:pt idx="8">
                  <c:v>32930000</c:v>
                </c:pt>
                <c:pt idx="9">
                  <c:v>154020000</c:v>
                </c:pt>
                <c:pt idx="10">
                  <c:v>102490000</c:v>
                </c:pt>
                <c:pt idx="11">
                  <c:v>160000000</c:v>
                </c:pt>
                <c:pt idx="12">
                  <c:v>87400000</c:v>
                </c:pt>
                <c:pt idx="13">
                  <c:v>117200000</c:v>
                </c:pt>
                <c:pt idx="14">
                  <c:v>84200000</c:v>
                </c:pt>
                <c:pt idx="15">
                  <c:v>82520000</c:v>
                </c:pt>
                <c:pt idx="16">
                  <c:v>16000000</c:v>
                </c:pt>
                <c:pt idx="17">
                  <c:v>9260000</c:v>
                </c:pt>
                <c:pt idx="18">
                  <c:v>49100000</c:v>
                </c:pt>
                <c:pt idx="19">
                  <c:v>154010000</c:v>
                </c:pt>
                <c:pt idx="20">
                  <c:v>101630000</c:v>
                </c:pt>
                <c:pt idx="21">
                  <c:v>13560000</c:v>
                </c:pt>
                <c:pt idx="22">
                  <c:v>24000000</c:v>
                </c:pt>
                <c:pt idx="23">
                  <c:v>84000000</c:v>
                </c:pt>
                <c:pt idx="24">
                  <c:v>58000000</c:v>
                </c:pt>
                <c:pt idx="25">
                  <c:v>28300000</c:v>
                </c:pt>
                <c:pt idx="26">
                  <c:v>10360000</c:v>
                </c:pt>
              </c:numCache>
            </c:numRef>
          </c:xVal>
          <c:yVal>
            <c:numRef>
              <c:f>'Cleaned - Video Game Data'!$L$2:$L$28</c:f>
              <c:numCache>
                <c:formatCode>\$#,##0</c:formatCode>
                <c:ptCount val="27"/>
                <c:pt idx="0">
                  <c:v>1816870000</c:v>
                </c:pt>
                <c:pt idx="1">
                  <c:v>10563410000</c:v>
                </c:pt>
                <c:pt idx="2">
                  <c:v>8069490000</c:v>
                </c:pt>
                <c:pt idx="3">
                  <c:v>1582380000</c:v>
                </c:pt>
                <c:pt idx="4">
                  <c:v>4326260000</c:v>
                </c:pt>
                <c:pt idx="5">
                  <c:v>5811750000</c:v>
                </c:pt>
                <c:pt idx="6">
                  <c:v>12320090000</c:v>
                </c:pt>
                <c:pt idx="7">
                  <c:v>18909060000</c:v>
                </c:pt>
                <c:pt idx="8">
                  <c:v>6553070000</c:v>
                </c:pt>
                <c:pt idx="9">
                  <c:v>22948980000</c:v>
                </c:pt>
                <c:pt idx="10">
                  <c:v>30644510000</c:v>
                </c:pt>
                <c:pt idx="11">
                  <c:v>47840000000</c:v>
                </c:pt>
                <c:pt idx="12">
                  <c:v>43612600000</c:v>
                </c:pt>
                <c:pt idx="13">
                  <c:v>46762800000</c:v>
                </c:pt>
                <c:pt idx="14">
                  <c:v>42015800000</c:v>
                </c:pt>
                <c:pt idx="15">
                  <c:v>20547480000</c:v>
                </c:pt>
                <c:pt idx="16">
                  <c:v>3984000000</c:v>
                </c:pt>
                <c:pt idx="17">
                  <c:v>3694740000</c:v>
                </c:pt>
                <c:pt idx="18">
                  <c:v>9770900000</c:v>
                </c:pt>
                <c:pt idx="19">
                  <c:v>46048990000</c:v>
                </c:pt>
                <c:pt idx="20">
                  <c:v>25305870000</c:v>
                </c:pt>
                <c:pt idx="21">
                  <c:v>4054440000</c:v>
                </c:pt>
                <c:pt idx="22">
                  <c:v>7176000000</c:v>
                </c:pt>
                <c:pt idx="23">
                  <c:v>25116000000</c:v>
                </c:pt>
                <c:pt idx="24">
                  <c:v>28942000000</c:v>
                </c:pt>
                <c:pt idx="25">
                  <c:v>11291700000</c:v>
                </c:pt>
                <c:pt idx="26">
                  <c:v>4657519295.6410093</c:v>
                </c:pt>
              </c:numCache>
            </c:numRef>
          </c:yVal>
          <c:smooth val="0"/>
          <c:extLst>
            <c:ext xmlns:c16="http://schemas.microsoft.com/office/drawing/2014/chart" uri="{C3380CC4-5D6E-409C-BE32-E72D297353CC}">
              <c16:uniqueId val="{00000000-8F37-4DB5-BBD4-9BA8447D0E0A}"/>
            </c:ext>
          </c:extLst>
        </c:ser>
        <c:dLbls>
          <c:showLegendKey val="0"/>
          <c:showVal val="0"/>
          <c:showCatName val="0"/>
          <c:showSerName val="0"/>
          <c:showPercent val="0"/>
          <c:showBubbleSize val="0"/>
        </c:dLbls>
        <c:axId val="1076438768"/>
        <c:axId val="1076422928"/>
      </c:scatterChart>
      <c:valAx>
        <c:axId val="107643876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076422928"/>
        <c:crosses val="autoZero"/>
        <c:crossBetween val="midCat"/>
      </c:valAx>
      <c:valAx>
        <c:axId val="107642292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076438768"/>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[Video Game Consoles Dataset V7.xlsx]Pivot Tables!Best-Seller Impact</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What are the</a:t>
            </a:r>
            <a:r>
              <a:rPr lang="en-US" b="1" baseline="0"/>
              <a:t> Top  Consoles by Best Seller Attach Rate?</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Tables'!$B$68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Tables'!$A$69:$A$79</c:f>
              <c:strCache>
                <c:ptCount val="10"/>
                <c:pt idx="0">
                  <c:v>PlayStation 3</c:v>
                </c:pt>
                <c:pt idx="1">
                  <c:v>Dreamcast</c:v>
                </c:pt>
                <c:pt idx="2">
                  <c:v>Game Boy</c:v>
                </c:pt>
                <c:pt idx="3">
                  <c:v>GameCube</c:v>
                </c:pt>
                <c:pt idx="4">
                  <c:v>Nintendo 64</c:v>
                </c:pt>
                <c:pt idx="5">
                  <c:v>Super Nintendo</c:v>
                </c:pt>
                <c:pt idx="6">
                  <c:v>Genesis (Mega Drive)</c:v>
                </c:pt>
                <c:pt idx="7">
                  <c:v>Wii U</c:v>
                </c:pt>
                <c:pt idx="8">
                  <c:v>NES</c:v>
                </c:pt>
                <c:pt idx="9">
                  <c:v>Wii</c:v>
                </c:pt>
              </c:strCache>
            </c:strRef>
          </c:cat>
          <c:val>
            <c:numRef>
              <c:f>'Pivot Tables'!$B$69:$B$79</c:f>
              <c:numCache>
                <c:formatCode>0.0%</c:formatCode>
                <c:ptCount val="10"/>
                <c:pt idx="0">
                  <c:v>0.2288329519450801</c:v>
                </c:pt>
                <c:pt idx="1">
                  <c:v>0.2738225629791895</c:v>
                </c:pt>
                <c:pt idx="2">
                  <c:v>0.29488583705451177</c:v>
                </c:pt>
                <c:pt idx="3">
                  <c:v>0.34038638454461823</c:v>
                </c:pt>
                <c:pt idx="4">
                  <c:v>0.36167628302459764</c:v>
                </c:pt>
                <c:pt idx="5">
                  <c:v>0.41955193482688391</c:v>
                </c:pt>
                <c:pt idx="6">
                  <c:v>0.48780487804878048</c:v>
                </c:pt>
                <c:pt idx="7">
                  <c:v>0.62389380530973448</c:v>
                </c:pt>
                <c:pt idx="8">
                  <c:v>0.64997577128089157</c:v>
                </c:pt>
                <c:pt idx="9">
                  <c:v>0.81570402440224343</c:v>
                </c:pt>
              </c:numCache>
            </c:numRef>
          </c:val>
          <c:extLst>
            <c:ext xmlns:c16="http://schemas.microsoft.com/office/drawing/2014/chart" uri="{C3380CC4-5D6E-409C-BE32-E72D297353CC}">
              <c16:uniqueId val="{00000000-4C8A-4D37-8F22-94AF4D7FAABB}"/>
            </c:ext>
          </c:extLst>
        </c:ser>
        <c:dLbls>
          <c:showLegendKey val="0"/>
          <c:showVal val="0"/>
          <c:showCatName val="0"/>
          <c:showSerName val="0"/>
          <c:showPercent val="0"/>
          <c:showBubbleSize val="0"/>
        </c:dLbls>
        <c:gapWidth val="182"/>
        <c:axId val="1076349488"/>
        <c:axId val="1076344688"/>
      </c:barChart>
      <c:catAx>
        <c:axId val="10763494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6344688"/>
        <c:crosses val="autoZero"/>
        <c:auto val="1"/>
        <c:lblAlgn val="ctr"/>
        <c:lblOffset val="100"/>
        <c:noMultiLvlLbl val="0"/>
      </c:catAx>
      <c:valAx>
        <c:axId val="107634468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63494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chart" Target="../charts/chart1.xml"/><Relationship Id="rId7" Type="http://schemas.openxmlformats.org/officeDocument/2006/relationships/chart" Target="../charts/chart5.xml"/><Relationship Id="rId2" Type="http://schemas.openxmlformats.org/officeDocument/2006/relationships/image" Target="../media/image29.emf"/><Relationship Id="rId1" Type="http://schemas.openxmlformats.org/officeDocument/2006/relationships/image" Target="../media/image28.emf"/><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 Id="rId9" Type="http://schemas.openxmlformats.org/officeDocument/2006/relationships/chart" Target="../charts/chart7.xml"/></Relationships>
</file>

<file path=xl/drawings/_rels/vmlDrawing1.vml.rels><?xml version="1.0" encoding="UTF-8" standalone="yes"?>
<Relationships xmlns="http://schemas.openxmlformats.org/package/2006/relationships"><Relationship Id="rId2" Type="http://schemas.openxmlformats.org/officeDocument/2006/relationships/image" Target="../media/image31.emf"/><Relationship Id="rId1" Type="http://schemas.openxmlformats.org/officeDocument/2006/relationships/image" Target="../media/image30.emf"/></Relationships>
</file>

<file path=xl/drawings/drawing1.xml><?xml version="1.0" encoding="utf-8"?>
<xdr:wsDr xmlns:xdr="http://schemas.openxmlformats.org/drawingml/2006/spreadsheetDrawing" xmlns:a="http://schemas.openxmlformats.org/drawingml/2006/main">
  <xdr:twoCellAnchor>
    <xdr:from>
      <xdr:col>0</xdr:col>
      <xdr:colOff>60325</xdr:colOff>
      <xdr:row>0</xdr:row>
      <xdr:rowOff>63500</xdr:rowOff>
    </xdr:from>
    <xdr:to>
      <xdr:col>18</xdr:col>
      <xdr:colOff>603251</xdr:colOff>
      <xdr:row>5</xdr:row>
      <xdr:rowOff>57150</xdr:rowOff>
    </xdr:to>
    <xdr:sp macro="" textlink="">
      <xdr:nvSpPr>
        <xdr:cNvPr id="2" name="TextBox 1">
          <a:extLst>
            <a:ext uri="{FF2B5EF4-FFF2-40B4-BE49-F238E27FC236}">
              <a16:creationId xmlns:a16="http://schemas.microsoft.com/office/drawing/2014/main" id="{D8199607-4493-329C-498C-C94E9B954FAD}"/>
            </a:ext>
          </a:extLst>
        </xdr:cNvPr>
        <xdr:cNvSpPr txBox="1"/>
      </xdr:nvSpPr>
      <xdr:spPr>
        <a:xfrm>
          <a:off x="60325" y="63500"/>
          <a:ext cx="11515726" cy="914400"/>
        </a:xfrm>
        <a:prstGeom prst="rect">
          <a:avLst/>
        </a:prstGeom>
        <a:solidFill>
          <a:srgbClr val="00B0F0"/>
        </a:solidFill>
        <a:ln w="9525" cmpd="sng">
          <a:solidFill>
            <a:schemeClr val="lt1">
              <a:shade val="50000"/>
            </a:schemeClr>
          </a:solid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200" b="1"/>
            <a:t>Global Console Performance Dashboard (Lifetime &amp; As-Of)</a:t>
          </a:r>
        </a:p>
      </xdr:txBody>
    </xdr:sp>
    <xdr:clientData/>
  </xdr:twoCellAnchor>
  <xdr:twoCellAnchor editAs="oneCell">
    <xdr:from>
      <xdr:col>9</xdr:col>
      <xdr:colOff>88900</xdr:colOff>
      <xdr:row>5</xdr:row>
      <xdr:rowOff>82551</xdr:rowOff>
    </xdr:from>
    <xdr:to>
      <xdr:col>13</xdr:col>
      <xdr:colOff>273050</xdr:colOff>
      <xdr:row>11</xdr:row>
      <xdr:rowOff>152400</xdr:rowOff>
    </xdr:to>
    <mc:AlternateContent xmlns:mc="http://schemas.openxmlformats.org/markup-compatibility/2006" xmlns:a14="http://schemas.microsoft.com/office/drawing/2010/main">
      <mc:Choice Requires="a14">
        <xdr:graphicFrame macro="">
          <xdr:nvGraphicFramePr>
            <xdr:cNvPr id="9" name="Manufacturer">
              <a:extLst>
                <a:ext uri="{FF2B5EF4-FFF2-40B4-BE49-F238E27FC236}">
                  <a16:creationId xmlns:a16="http://schemas.microsoft.com/office/drawing/2014/main" id="{977D99DF-AAAD-4861-934C-CAD0DE382D84}"/>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mlns="">
        <xdr:sp macro="" textlink="">
          <xdr:nvSpPr>
            <xdr:cNvPr id="0" name=""/>
            <xdr:cNvSpPr>
              <a:spLocks noTextEdit="1"/>
            </xdr:cNvSpPr>
          </xdr:nvSpPr>
          <xdr:spPr>
            <a:xfrm>
              <a:off x="5558971" y="989694"/>
              <a:ext cx="2615293" cy="11584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298450</xdr:colOff>
      <xdr:row>5</xdr:row>
      <xdr:rowOff>82551</xdr:rowOff>
    </xdr:from>
    <xdr:to>
      <xdr:col>18</xdr:col>
      <xdr:colOff>603250</xdr:colOff>
      <xdr:row>11</xdr:row>
      <xdr:rowOff>152400</xdr:rowOff>
    </xdr:to>
    <mc:AlternateContent xmlns:mc="http://schemas.openxmlformats.org/markup-compatibility/2006" xmlns:a14="http://schemas.microsoft.com/office/drawing/2010/main">
      <mc:Choice Requires="a14">
        <xdr:graphicFrame macro="">
          <xdr:nvGraphicFramePr>
            <xdr:cNvPr id="10" name="Generation">
              <a:extLst>
                <a:ext uri="{FF2B5EF4-FFF2-40B4-BE49-F238E27FC236}">
                  <a16:creationId xmlns:a16="http://schemas.microsoft.com/office/drawing/2014/main" id="{EF5C4D30-4F60-4800-B4A4-28CEAD8CC47A}"/>
                </a:ext>
              </a:extLst>
            </xdr:cNvPr>
            <xdr:cNvGraphicFramePr/>
          </xdr:nvGraphicFramePr>
          <xdr:xfrm>
            <a:off x="0" y="0"/>
            <a:ext cx="0" cy="0"/>
          </xdr:xfrm>
          <a:graphic>
            <a:graphicData uri="http://schemas.microsoft.com/office/drawing/2010/slicer">
              <sle:slicer xmlns:sle="http://schemas.microsoft.com/office/drawing/2010/slicer" name="Generation"/>
            </a:graphicData>
          </a:graphic>
        </xdr:graphicFrame>
      </mc:Choice>
      <mc:Fallback xmlns="">
        <xdr:sp macro="" textlink="">
          <xdr:nvSpPr>
            <xdr:cNvPr id="0" name=""/>
            <xdr:cNvSpPr>
              <a:spLocks noTextEdit="1"/>
            </xdr:cNvSpPr>
          </xdr:nvSpPr>
          <xdr:spPr>
            <a:xfrm>
              <a:off x="8199664" y="989694"/>
              <a:ext cx="3343729" cy="11584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57150</xdr:colOff>
      <xdr:row>5</xdr:row>
      <xdr:rowOff>82551</xdr:rowOff>
    </xdr:from>
    <xdr:to>
      <xdr:col>3</xdr:col>
      <xdr:colOff>476250</xdr:colOff>
      <xdr:row>11</xdr:row>
      <xdr:rowOff>152401</xdr:rowOff>
    </xdr:to>
    <mc:AlternateContent xmlns:mc="http://schemas.openxmlformats.org/markup-compatibility/2006" xmlns:a14="http://schemas.microsoft.com/office/drawing/2010/main">
      <mc:Choice Requires="a14">
        <xdr:graphicFrame macro="">
          <xdr:nvGraphicFramePr>
            <xdr:cNvPr id="11" name="SalesBasisType">
              <a:extLst>
                <a:ext uri="{FF2B5EF4-FFF2-40B4-BE49-F238E27FC236}">
                  <a16:creationId xmlns:a16="http://schemas.microsoft.com/office/drawing/2014/main" id="{96A34BFF-8BA1-47F2-8DC5-F6F322CF8CE0}"/>
                </a:ext>
              </a:extLst>
            </xdr:cNvPr>
            <xdr:cNvGraphicFramePr/>
          </xdr:nvGraphicFramePr>
          <xdr:xfrm>
            <a:off x="0" y="0"/>
            <a:ext cx="0" cy="0"/>
          </xdr:xfrm>
          <a:graphic>
            <a:graphicData uri="http://schemas.microsoft.com/office/drawing/2010/slicer">
              <sle:slicer xmlns:sle="http://schemas.microsoft.com/office/drawing/2010/slicer" name="SalesBasisType"/>
            </a:graphicData>
          </a:graphic>
        </xdr:graphicFrame>
      </mc:Choice>
      <mc:Fallback xmlns="">
        <xdr:sp macro="" textlink="">
          <xdr:nvSpPr>
            <xdr:cNvPr id="0" name=""/>
            <xdr:cNvSpPr>
              <a:spLocks noTextEdit="1"/>
            </xdr:cNvSpPr>
          </xdr:nvSpPr>
          <xdr:spPr>
            <a:xfrm>
              <a:off x="57150" y="989694"/>
              <a:ext cx="2242457" cy="115842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501650</xdr:colOff>
      <xdr:row>5</xdr:row>
      <xdr:rowOff>82551</xdr:rowOff>
    </xdr:from>
    <xdr:to>
      <xdr:col>9</xdr:col>
      <xdr:colOff>63500</xdr:colOff>
      <xdr:row>11</xdr:row>
      <xdr:rowOff>152401</xdr:rowOff>
    </xdr:to>
    <mc:AlternateContent xmlns:mc="http://schemas.openxmlformats.org/markup-compatibility/2006" xmlns:a14="http://schemas.microsoft.com/office/drawing/2010/main">
      <mc:Choice Requires="a14">
        <xdr:graphicFrame macro="">
          <xdr:nvGraphicFramePr>
            <xdr:cNvPr id="12" name="AsOfDate">
              <a:extLst>
                <a:ext uri="{FF2B5EF4-FFF2-40B4-BE49-F238E27FC236}">
                  <a16:creationId xmlns:a16="http://schemas.microsoft.com/office/drawing/2014/main" id="{C58C6102-F006-4BEF-A21A-FBD48378A87C}"/>
                </a:ext>
              </a:extLst>
            </xdr:cNvPr>
            <xdr:cNvGraphicFramePr/>
          </xdr:nvGraphicFramePr>
          <xdr:xfrm>
            <a:off x="0" y="0"/>
            <a:ext cx="0" cy="0"/>
          </xdr:xfrm>
          <a:graphic>
            <a:graphicData uri="http://schemas.microsoft.com/office/drawing/2010/slicer">
              <sle:slicer xmlns:sle="http://schemas.microsoft.com/office/drawing/2010/slicer" name="AsOfDate"/>
            </a:graphicData>
          </a:graphic>
        </xdr:graphicFrame>
      </mc:Choice>
      <mc:Fallback xmlns="">
        <xdr:sp macro="" textlink="">
          <xdr:nvSpPr>
            <xdr:cNvPr id="0" name=""/>
            <xdr:cNvSpPr>
              <a:spLocks noTextEdit="1"/>
            </xdr:cNvSpPr>
          </xdr:nvSpPr>
          <xdr:spPr>
            <a:xfrm>
              <a:off x="2325007" y="989694"/>
              <a:ext cx="3208564" cy="115842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57150</xdr:colOff>
      <xdr:row>12</xdr:row>
      <xdr:rowOff>19050</xdr:rowOff>
    </xdr:from>
    <xdr:to>
      <xdr:col>9</xdr:col>
      <xdr:colOff>158750</xdr:colOff>
      <xdr:row>15</xdr:row>
      <xdr:rowOff>158749</xdr:rowOff>
    </xdr:to>
    <mc:AlternateContent xmlns:mc="http://schemas.openxmlformats.org/markup-compatibility/2006" xmlns:a14="http://schemas.microsoft.com/office/drawing/2010/main">
      <mc:Choice Requires="a14">
        <xdr:graphicFrame macro="">
          <xdr:nvGraphicFramePr>
            <xdr:cNvPr id="13" name="ActiveFlag">
              <a:extLst>
                <a:ext uri="{FF2B5EF4-FFF2-40B4-BE49-F238E27FC236}">
                  <a16:creationId xmlns:a16="http://schemas.microsoft.com/office/drawing/2014/main" id="{04818907-CCD5-4AF7-81FB-08E359856CFE}"/>
                </a:ext>
              </a:extLst>
            </xdr:cNvPr>
            <xdr:cNvGraphicFramePr/>
          </xdr:nvGraphicFramePr>
          <xdr:xfrm>
            <a:off x="0" y="0"/>
            <a:ext cx="0" cy="0"/>
          </xdr:xfrm>
          <a:graphic>
            <a:graphicData uri="http://schemas.microsoft.com/office/drawing/2010/slicer">
              <sle:slicer xmlns:sle="http://schemas.microsoft.com/office/drawing/2010/slicer" name="ActiveFlag"/>
            </a:graphicData>
          </a:graphic>
        </xdr:graphicFrame>
      </mc:Choice>
      <mc:Fallback xmlns="">
        <xdr:sp macro="" textlink="">
          <xdr:nvSpPr>
            <xdr:cNvPr id="0" name=""/>
            <xdr:cNvSpPr>
              <a:spLocks noTextEdit="1"/>
            </xdr:cNvSpPr>
          </xdr:nvSpPr>
          <xdr:spPr>
            <a:xfrm>
              <a:off x="57150" y="2196193"/>
              <a:ext cx="5571671" cy="6839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177800</xdr:colOff>
      <xdr:row>12</xdr:row>
      <xdr:rowOff>19050</xdr:rowOff>
    </xdr:from>
    <xdr:to>
      <xdr:col>19</xdr:col>
      <xdr:colOff>0</xdr:colOff>
      <xdr:row>15</xdr:row>
      <xdr:rowOff>158749</xdr:rowOff>
    </xdr:to>
    <mc:AlternateContent xmlns:mc="http://schemas.openxmlformats.org/markup-compatibility/2006" xmlns:a14="http://schemas.microsoft.com/office/drawing/2010/main">
      <mc:Choice Requires="a14">
        <xdr:graphicFrame macro="">
          <xdr:nvGraphicFramePr>
            <xdr:cNvPr id="14" name="IsHardwareEstimate">
              <a:extLst>
                <a:ext uri="{FF2B5EF4-FFF2-40B4-BE49-F238E27FC236}">
                  <a16:creationId xmlns:a16="http://schemas.microsoft.com/office/drawing/2014/main" id="{E2139F35-8FC4-4938-9639-0A36B1021E75}"/>
                </a:ext>
              </a:extLst>
            </xdr:cNvPr>
            <xdr:cNvGraphicFramePr/>
          </xdr:nvGraphicFramePr>
          <xdr:xfrm>
            <a:off x="0" y="0"/>
            <a:ext cx="0" cy="0"/>
          </xdr:xfrm>
          <a:graphic>
            <a:graphicData uri="http://schemas.microsoft.com/office/drawing/2010/slicer">
              <sle:slicer xmlns:sle="http://schemas.microsoft.com/office/drawing/2010/slicer" name="IsHardwareEstimate"/>
            </a:graphicData>
          </a:graphic>
        </xdr:graphicFrame>
      </mc:Choice>
      <mc:Fallback xmlns="">
        <xdr:sp macro="" textlink="">
          <xdr:nvSpPr>
            <xdr:cNvPr id="0" name=""/>
            <xdr:cNvSpPr>
              <a:spLocks noTextEdit="1"/>
            </xdr:cNvSpPr>
          </xdr:nvSpPr>
          <xdr:spPr>
            <a:xfrm>
              <a:off x="5647871" y="2196193"/>
              <a:ext cx="5900058" cy="6839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45427</xdr:colOff>
      <xdr:row>16</xdr:row>
      <xdr:rowOff>54710</xdr:rowOff>
    </xdr:from>
    <xdr:to>
      <xdr:col>6</xdr:col>
      <xdr:colOff>136072</xdr:colOff>
      <xdr:row>24</xdr:row>
      <xdr:rowOff>46568</xdr:rowOff>
    </xdr:to>
    <xdr:grpSp>
      <xdr:nvGrpSpPr>
        <xdr:cNvPr id="77" name="Group 76">
          <a:extLst>
            <a:ext uri="{FF2B5EF4-FFF2-40B4-BE49-F238E27FC236}">
              <a16:creationId xmlns:a16="http://schemas.microsoft.com/office/drawing/2014/main" id="{0652DD48-5321-2332-9EF9-477EA2632A0D}"/>
            </a:ext>
          </a:extLst>
        </xdr:cNvPr>
        <xdr:cNvGrpSpPr/>
      </xdr:nvGrpSpPr>
      <xdr:grpSpPr>
        <a:xfrm>
          <a:off x="45427" y="3036449"/>
          <a:ext cx="3734993" cy="1482728"/>
          <a:chOff x="45427" y="3050607"/>
          <a:chExt cx="3527345" cy="1489807"/>
        </a:xfrm>
      </xdr:grpSpPr>
      <xdr:sp macro="" textlink="">
        <xdr:nvSpPr>
          <xdr:cNvPr id="7" name="Rectangle: Rounded Corners 6">
            <a:extLst>
              <a:ext uri="{FF2B5EF4-FFF2-40B4-BE49-F238E27FC236}">
                <a16:creationId xmlns:a16="http://schemas.microsoft.com/office/drawing/2014/main" id="{F139F602-A2EF-4976-BC60-E52A6CDD0CC7}"/>
              </a:ext>
            </a:extLst>
          </xdr:cNvPr>
          <xdr:cNvSpPr/>
        </xdr:nvSpPr>
        <xdr:spPr>
          <a:xfrm>
            <a:off x="45427" y="3050607"/>
            <a:ext cx="3527345" cy="1489807"/>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1100"/>
          </a:p>
        </xdr:txBody>
      </xdr:sp>
      <xdr:sp macro="" textlink="">
        <xdr:nvSpPr>
          <xdr:cNvPr id="26" name="TextBox 25">
            <a:extLst>
              <a:ext uri="{FF2B5EF4-FFF2-40B4-BE49-F238E27FC236}">
                <a16:creationId xmlns:a16="http://schemas.microsoft.com/office/drawing/2014/main" id="{C290CD55-AF85-424F-97ED-7E91BCF1A72F}"/>
              </a:ext>
            </a:extLst>
          </xdr:cNvPr>
          <xdr:cNvSpPr txBox="1"/>
        </xdr:nvSpPr>
        <xdr:spPr>
          <a:xfrm>
            <a:off x="292589" y="3213428"/>
            <a:ext cx="3085449" cy="596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a:t>Total Hardware Units Sold</a:t>
            </a:r>
            <a:r>
              <a:rPr lang="en-US" sz="1600" b="0" baseline="0"/>
              <a:t> </a:t>
            </a:r>
          </a:p>
          <a:p>
            <a:pPr algn="ctr"/>
            <a:r>
              <a:rPr lang="en-US" sz="1600" b="0" baseline="0"/>
              <a:t>(Global)</a:t>
            </a:r>
            <a:endParaRPr lang="en-US" sz="1600" b="0"/>
          </a:p>
        </xdr:txBody>
      </xdr:sp>
      <xdr:sp macro="" textlink="'Pivot Tables'!A2">
        <xdr:nvSpPr>
          <xdr:cNvPr id="27" name="TextBox 26">
            <a:extLst>
              <a:ext uri="{FF2B5EF4-FFF2-40B4-BE49-F238E27FC236}">
                <a16:creationId xmlns:a16="http://schemas.microsoft.com/office/drawing/2014/main" id="{945DD3ED-0226-4EED-B811-E85BFFFE0963}"/>
              </a:ext>
            </a:extLst>
          </xdr:cNvPr>
          <xdr:cNvSpPr txBox="1"/>
        </xdr:nvSpPr>
        <xdr:spPr>
          <a:xfrm>
            <a:off x="260024" y="3728591"/>
            <a:ext cx="3085449" cy="6630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3561DAD2-D47C-4C34-82F1-371DA1F97D15}" type="TxLink">
              <a:rPr lang="en-US" sz="4400" b="0" i="0" u="none" strike="noStrike">
                <a:solidFill>
                  <a:srgbClr val="000000"/>
                </a:solidFill>
                <a:latin typeface="Calibri"/>
                <a:ea typeface="Calibri"/>
                <a:cs typeface="Calibri"/>
              </a:rPr>
              <a:pPr algn="ctr"/>
              <a:t>1.1B</a:t>
            </a:fld>
            <a:endParaRPr lang="en-US" sz="4400"/>
          </a:p>
        </xdr:txBody>
      </xdr:sp>
    </xdr:grpSp>
    <xdr:clientData/>
  </xdr:twoCellAnchor>
  <xdr:twoCellAnchor>
    <xdr:from>
      <xdr:col>6</xdr:col>
      <xdr:colOff>234578</xdr:colOff>
      <xdr:row>16</xdr:row>
      <xdr:rowOff>54710</xdr:rowOff>
    </xdr:from>
    <xdr:to>
      <xdr:col>12</xdr:col>
      <xdr:colOff>489857</xdr:colOff>
      <xdr:row>24</xdr:row>
      <xdr:rowOff>46568</xdr:rowOff>
    </xdr:to>
    <xdr:grpSp>
      <xdr:nvGrpSpPr>
        <xdr:cNvPr id="76" name="Group 75">
          <a:extLst>
            <a:ext uri="{FF2B5EF4-FFF2-40B4-BE49-F238E27FC236}">
              <a16:creationId xmlns:a16="http://schemas.microsoft.com/office/drawing/2014/main" id="{F1E81B99-E738-D345-8D02-D6AE7E79CEB9}"/>
            </a:ext>
          </a:extLst>
        </xdr:cNvPr>
        <xdr:cNvGrpSpPr/>
      </xdr:nvGrpSpPr>
      <xdr:grpSpPr>
        <a:xfrm>
          <a:off x="3878926" y="3036449"/>
          <a:ext cx="3899627" cy="1482728"/>
          <a:chOff x="4015968" y="3050607"/>
          <a:chExt cx="3527345" cy="1489807"/>
        </a:xfrm>
      </xdr:grpSpPr>
      <xdr:sp macro="" textlink="">
        <xdr:nvSpPr>
          <xdr:cNvPr id="56" name="Rectangle: Rounded Corners 55">
            <a:extLst>
              <a:ext uri="{FF2B5EF4-FFF2-40B4-BE49-F238E27FC236}">
                <a16:creationId xmlns:a16="http://schemas.microsoft.com/office/drawing/2014/main" id="{D5E3C1F9-688B-0965-3330-F9525D7069BB}"/>
              </a:ext>
            </a:extLst>
          </xdr:cNvPr>
          <xdr:cNvSpPr/>
        </xdr:nvSpPr>
        <xdr:spPr>
          <a:xfrm>
            <a:off x="4015968" y="3050607"/>
            <a:ext cx="3527345" cy="1489807"/>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1100"/>
          </a:p>
        </xdr:txBody>
      </xdr:sp>
      <xdr:sp macro="" textlink="">
        <xdr:nvSpPr>
          <xdr:cNvPr id="57" name="TextBox 56">
            <a:extLst>
              <a:ext uri="{FF2B5EF4-FFF2-40B4-BE49-F238E27FC236}">
                <a16:creationId xmlns:a16="http://schemas.microsoft.com/office/drawing/2014/main" id="{7A1A0722-6F5E-C0D9-273A-0B3970A587E3}"/>
              </a:ext>
            </a:extLst>
          </xdr:cNvPr>
          <xdr:cNvSpPr txBox="1"/>
        </xdr:nvSpPr>
        <xdr:spPr>
          <a:xfrm>
            <a:off x="4254988" y="3205287"/>
            <a:ext cx="3085449" cy="6535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Estimated</a:t>
            </a:r>
            <a:r>
              <a:rPr lang="en-US" sz="1600" baseline="0"/>
              <a:t> Hardware Revenue (Global, proxy)</a:t>
            </a:r>
            <a:endParaRPr lang="en-US" sz="1600"/>
          </a:p>
        </xdr:txBody>
      </xdr:sp>
      <xdr:sp macro="" textlink="'Pivot Tables'!C2">
        <xdr:nvSpPr>
          <xdr:cNvPr id="58" name="TextBox 57">
            <a:extLst>
              <a:ext uri="{FF2B5EF4-FFF2-40B4-BE49-F238E27FC236}">
                <a16:creationId xmlns:a16="http://schemas.microsoft.com/office/drawing/2014/main" id="{8B844A4B-2517-D550-765C-695236ADC7B3}"/>
              </a:ext>
            </a:extLst>
          </xdr:cNvPr>
          <xdr:cNvSpPr txBox="1"/>
        </xdr:nvSpPr>
        <xdr:spPr>
          <a:xfrm>
            <a:off x="4214284" y="3886854"/>
            <a:ext cx="3085449" cy="423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12EB484-BFE2-46FF-9888-957182DD4980}" type="TxLink">
              <a:rPr lang="en-US" sz="4000" b="0" i="0" u="none" strike="noStrike">
                <a:solidFill>
                  <a:srgbClr val="000000"/>
                </a:solidFill>
                <a:latin typeface="Calibri"/>
                <a:ea typeface="Calibri"/>
                <a:cs typeface="Calibri"/>
              </a:rPr>
              <a:pPr algn="ctr"/>
              <a:t>$265.1B</a:t>
            </a:fld>
            <a:endParaRPr lang="en-US" sz="4000"/>
          </a:p>
        </xdr:txBody>
      </xdr:sp>
    </xdr:grpSp>
    <xdr:clientData/>
  </xdr:twoCellAnchor>
  <xdr:twoCellAnchor>
    <xdr:from>
      <xdr:col>12</xdr:col>
      <xdr:colOff>553519</xdr:colOff>
      <xdr:row>16</xdr:row>
      <xdr:rowOff>54710</xdr:rowOff>
    </xdr:from>
    <xdr:to>
      <xdr:col>19</xdr:col>
      <xdr:colOff>36285</xdr:colOff>
      <xdr:row>24</xdr:row>
      <xdr:rowOff>46568</xdr:rowOff>
    </xdr:to>
    <xdr:grpSp>
      <xdr:nvGrpSpPr>
        <xdr:cNvPr id="59" name="Group 58">
          <a:extLst>
            <a:ext uri="{FF2B5EF4-FFF2-40B4-BE49-F238E27FC236}">
              <a16:creationId xmlns:a16="http://schemas.microsoft.com/office/drawing/2014/main" id="{8307F910-095F-44DD-9EAF-BCD10B0C49A1}"/>
            </a:ext>
          </a:extLst>
        </xdr:cNvPr>
        <xdr:cNvGrpSpPr/>
      </xdr:nvGrpSpPr>
      <xdr:grpSpPr>
        <a:xfrm>
          <a:off x="7842215" y="3036449"/>
          <a:ext cx="3698220" cy="1482728"/>
          <a:chOff x="4026388" y="4638107"/>
          <a:chExt cx="3527345" cy="1489807"/>
        </a:xfrm>
      </xdr:grpSpPr>
      <xdr:sp macro="" textlink="">
        <xdr:nvSpPr>
          <xdr:cNvPr id="60" name="Rectangle: Rounded Corners 59">
            <a:extLst>
              <a:ext uri="{FF2B5EF4-FFF2-40B4-BE49-F238E27FC236}">
                <a16:creationId xmlns:a16="http://schemas.microsoft.com/office/drawing/2014/main" id="{15114E71-EE23-68D2-4C92-7B8B1ABC6477}"/>
              </a:ext>
            </a:extLst>
          </xdr:cNvPr>
          <xdr:cNvSpPr/>
        </xdr:nvSpPr>
        <xdr:spPr>
          <a:xfrm>
            <a:off x="4026388" y="4638107"/>
            <a:ext cx="3527345" cy="1489807"/>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1100"/>
          </a:p>
        </xdr:txBody>
      </xdr:sp>
      <xdr:sp macro="" textlink="">
        <xdr:nvSpPr>
          <xdr:cNvPr id="61" name="TextBox 60">
            <a:extLst>
              <a:ext uri="{FF2B5EF4-FFF2-40B4-BE49-F238E27FC236}">
                <a16:creationId xmlns:a16="http://schemas.microsoft.com/office/drawing/2014/main" id="{3BCFCA00-145F-2597-39BA-DC9106D1BDD8}"/>
              </a:ext>
            </a:extLst>
          </xdr:cNvPr>
          <xdr:cNvSpPr txBox="1"/>
        </xdr:nvSpPr>
        <xdr:spPr>
          <a:xfrm>
            <a:off x="4273550" y="4800928"/>
            <a:ext cx="3085449" cy="423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t>Averge Hardware</a:t>
            </a:r>
            <a:r>
              <a:rPr lang="en-US" sz="1600" baseline="0"/>
              <a:t> Price </a:t>
            </a:r>
            <a:endParaRPr lang="en-US" sz="1600"/>
          </a:p>
        </xdr:txBody>
      </xdr:sp>
      <xdr:sp macro="" textlink="'Pivot Tables'!E2">
        <xdr:nvSpPr>
          <xdr:cNvPr id="62" name="TextBox 61">
            <a:extLst>
              <a:ext uri="{FF2B5EF4-FFF2-40B4-BE49-F238E27FC236}">
                <a16:creationId xmlns:a16="http://schemas.microsoft.com/office/drawing/2014/main" id="{F1FF7AF4-3C72-3997-D9C8-9453272BADFF}"/>
              </a:ext>
            </a:extLst>
          </xdr:cNvPr>
          <xdr:cNvSpPr txBox="1"/>
        </xdr:nvSpPr>
        <xdr:spPr>
          <a:xfrm>
            <a:off x="4273550" y="5474354"/>
            <a:ext cx="3085449" cy="423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2E7DB9C-91FE-46A6-A20F-A1F06A5102EE}" type="TxLink">
              <a:rPr lang="en-US" sz="4000" b="0" i="0" u="none" strike="noStrike">
                <a:solidFill>
                  <a:srgbClr val="000000"/>
                </a:solidFill>
                <a:latin typeface="Calibri"/>
                <a:ea typeface="Calibri"/>
                <a:cs typeface="Calibri"/>
              </a:rPr>
              <a:pPr algn="ctr"/>
              <a:t>$241.94</a:t>
            </a:fld>
            <a:endParaRPr lang="en-US" sz="4000"/>
          </a:p>
        </xdr:txBody>
      </xdr:sp>
    </xdr:grpSp>
    <xdr:clientData/>
  </xdr:twoCellAnchor>
  <xdr:twoCellAnchor>
    <xdr:from>
      <xdr:col>0</xdr:col>
      <xdr:colOff>53499</xdr:colOff>
      <xdr:row>24</xdr:row>
      <xdr:rowOff>130517</xdr:rowOff>
    </xdr:from>
    <xdr:to>
      <xdr:col>6</xdr:col>
      <xdr:colOff>181429</xdr:colOff>
      <xdr:row>32</xdr:row>
      <xdr:rowOff>117929</xdr:rowOff>
    </xdr:to>
    <xdr:grpSp>
      <xdr:nvGrpSpPr>
        <xdr:cNvPr id="113" name="Group 112">
          <a:extLst>
            <a:ext uri="{FF2B5EF4-FFF2-40B4-BE49-F238E27FC236}">
              <a16:creationId xmlns:a16="http://schemas.microsoft.com/office/drawing/2014/main" id="{E79ECE86-EF77-5AF1-D899-8EE731C4CCD0}"/>
            </a:ext>
          </a:extLst>
        </xdr:cNvPr>
        <xdr:cNvGrpSpPr/>
      </xdr:nvGrpSpPr>
      <xdr:grpSpPr>
        <a:xfrm>
          <a:off x="53499" y="4603126"/>
          <a:ext cx="3772278" cy="1478281"/>
          <a:chOff x="8141" y="4693445"/>
          <a:chExt cx="3510336" cy="1479602"/>
        </a:xfrm>
      </xdr:grpSpPr>
      <xdr:sp macro="" textlink="">
        <xdr:nvSpPr>
          <xdr:cNvPr id="64" name="Rectangle: Rounded Corners 63">
            <a:extLst>
              <a:ext uri="{FF2B5EF4-FFF2-40B4-BE49-F238E27FC236}">
                <a16:creationId xmlns:a16="http://schemas.microsoft.com/office/drawing/2014/main" id="{03D61A5A-084F-C41F-517E-03754956A17A}"/>
              </a:ext>
            </a:extLst>
          </xdr:cNvPr>
          <xdr:cNvSpPr/>
        </xdr:nvSpPr>
        <xdr:spPr>
          <a:xfrm>
            <a:off x="8141" y="4693445"/>
            <a:ext cx="3510336" cy="1479602"/>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1100"/>
          </a:p>
        </xdr:txBody>
      </xdr:sp>
      <xdr:sp macro="" textlink="">
        <xdr:nvSpPr>
          <xdr:cNvPr id="65" name="TextBox 64">
            <a:extLst>
              <a:ext uri="{FF2B5EF4-FFF2-40B4-BE49-F238E27FC236}">
                <a16:creationId xmlns:a16="http://schemas.microsoft.com/office/drawing/2014/main" id="{C40610F2-0CD6-810D-45B0-5080DF6FB434}"/>
              </a:ext>
            </a:extLst>
          </xdr:cNvPr>
          <xdr:cNvSpPr txBox="1"/>
        </xdr:nvSpPr>
        <xdr:spPr>
          <a:xfrm>
            <a:off x="228481" y="4743208"/>
            <a:ext cx="3070951" cy="4217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a:t>Top Console</a:t>
            </a:r>
            <a:r>
              <a:rPr lang="en-US" sz="2000" baseline="0"/>
              <a:t> by Units</a:t>
            </a:r>
            <a:endParaRPr lang="en-US" sz="2000"/>
          </a:p>
        </xdr:txBody>
      </xdr:sp>
      <mc:AlternateContent xmlns:mc="http://schemas.openxmlformats.org/markup-compatibility/2006" xmlns:a14="http://schemas.microsoft.com/office/drawing/2010/main">
        <mc:Choice Requires="a14">
          <xdr:pic>
            <xdr:nvPicPr>
              <xdr:cNvPr id="109" name="Picture 108">
                <a:extLst>
                  <a:ext uri="{FF2B5EF4-FFF2-40B4-BE49-F238E27FC236}">
                    <a16:creationId xmlns:a16="http://schemas.microsoft.com/office/drawing/2014/main" id="{1AC27900-7B83-24EB-A7B0-6E30264B7F55}"/>
                  </a:ext>
                </a:extLst>
              </xdr:cNvPr>
              <xdr:cNvPicPr>
                <a:picLocks noChangeAspect="1" noChangeArrowheads="1"/>
                <a:extLst>
                  <a:ext uri="{84589F7E-364E-4C9E-8A38-B11213B215E9}">
                    <a14:cameraTool cellRange="'Pivot Tables'!$Q$12" spid="_x0000_s1339"/>
                  </a:ext>
                </a:extLst>
              </xdr:cNvPicPr>
            </xdr:nvPicPr>
            <xdr:blipFill>
              <a:blip xmlns:r="http://schemas.openxmlformats.org/officeDocument/2006/relationships" r:embed="rId1"/>
              <a:srcRect/>
              <a:stretch>
                <a:fillRect/>
              </a:stretch>
            </xdr:blipFill>
            <xdr:spPr bwMode="auto">
              <a:xfrm>
                <a:off x="645491" y="5189367"/>
                <a:ext cx="2239689" cy="853694"/>
              </a:xfrm>
              <a:prstGeom prst="rect">
                <a:avLst/>
              </a:prstGeom>
            </xdr:spPr>
          </xdr:pic>
        </mc:Choice>
        <mc:Fallback xmlns=""/>
      </mc:AlternateContent>
    </xdr:grpSp>
    <xdr:clientData/>
  </xdr:twoCellAnchor>
  <xdr:twoCellAnchor>
    <xdr:from>
      <xdr:col>6</xdr:col>
      <xdr:colOff>260792</xdr:colOff>
      <xdr:row>24</xdr:row>
      <xdr:rowOff>130517</xdr:rowOff>
    </xdr:from>
    <xdr:to>
      <xdr:col>12</xdr:col>
      <xdr:colOff>526142</xdr:colOff>
      <xdr:row>32</xdr:row>
      <xdr:rowOff>122377</xdr:rowOff>
    </xdr:to>
    <xdr:grpSp>
      <xdr:nvGrpSpPr>
        <xdr:cNvPr id="114" name="Group 113">
          <a:extLst>
            <a:ext uri="{FF2B5EF4-FFF2-40B4-BE49-F238E27FC236}">
              <a16:creationId xmlns:a16="http://schemas.microsoft.com/office/drawing/2014/main" id="{0F949A8F-9542-D326-7072-B7CC8C55FA7B}"/>
            </a:ext>
          </a:extLst>
        </xdr:cNvPr>
        <xdr:cNvGrpSpPr/>
      </xdr:nvGrpSpPr>
      <xdr:grpSpPr>
        <a:xfrm>
          <a:off x="3905140" y="4603126"/>
          <a:ext cx="3909698" cy="1482729"/>
          <a:chOff x="3961934" y="4557374"/>
          <a:chExt cx="3510599" cy="1443288"/>
        </a:xfrm>
      </xdr:grpSpPr>
      <xdr:sp macro="" textlink="">
        <xdr:nvSpPr>
          <xdr:cNvPr id="68" name="Rectangle: Rounded Corners 67">
            <a:extLst>
              <a:ext uri="{FF2B5EF4-FFF2-40B4-BE49-F238E27FC236}">
                <a16:creationId xmlns:a16="http://schemas.microsoft.com/office/drawing/2014/main" id="{59BFE2B0-DB65-C58D-C916-09870CB2F1ED}"/>
              </a:ext>
            </a:extLst>
          </xdr:cNvPr>
          <xdr:cNvSpPr/>
        </xdr:nvSpPr>
        <xdr:spPr>
          <a:xfrm>
            <a:off x="3961934" y="4557374"/>
            <a:ext cx="3510599" cy="1443288"/>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1100"/>
          </a:p>
        </xdr:txBody>
      </xdr:sp>
      <xdr:sp macro="" textlink="">
        <xdr:nvSpPr>
          <xdr:cNvPr id="69" name="TextBox 68">
            <a:extLst>
              <a:ext uri="{FF2B5EF4-FFF2-40B4-BE49-F238E27FC236}">
                <a16:creationId xmlns:a16="http://schemas.microsoft.com/office/drawing/2014/main" id="{BBA2FA52-1EA2-6647-CF0F-B14110E101CD}"/>
              </a:ext>
            </a:extLst>
          </xdr:cNvPr>
          <xdr:cNvSpPr txBox="1"/>
        </xdr:nvSpPr>
        <xdr:spPr>
          <a:xfrm>
            <a:off x="4207923" y="4628356"/>
            <a:ext cx="3070801" cy="410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a:t>Top</a:t>
            </a:r>
            <a:r>
              <a:rPr lang="en-US" sz="2000" baseline="0"/>
              <a:t> Console by Revenue</a:t>
            </a:r>
            <a:endParaRPr lang="en-US" sz="2000"/>
          </a:p>
        </xdr:txBody>
      </xdr:sp>
      <mc:AlternateContent xmlns:mc="http://schemas.openxmlformats.org/markup-compatibility/2006" xmlns:a14="http://schemas.microsoft.com/office/drawing/2010/main">
        <mc:Choice Requires="a14">
          <xdr:pic>
            <xdr:nvPicPr>
              <xdr:cNvPr id="110" name="Picture 109">
                <a:extLst>
                  <a:ext uri="{FF2B5EF4-FFF2-40B4-BE49-F238E27FC236}">
                    <a16:creationId xmlns:a16="http://schemas.microsoft.com/office/drawing/2014/main" id="{93B87C25-D580-8E1A-DACC-87CE196310FF}"/>
                  </a:ext>
                </a:extLst>
              </xdr:cNvPr>
              <xdr:cNvPicPr>
                <a:picLocks noChangeAspect="1" noChangeArrowheads="1"/>
                <a:extLst>
                  <a:ext uri="{84589F7E-364E-4C9E-8A38-B11213B215E9}">
                    <a14:cameraTool cellRange="'Pivot Tables'!$S$12" spid="_x0000_s1340"/>
                  </a:ext>
                </a:extLst>
              </xdr:cNvPicPr>
            </xdr:nvPicPr>
            <xdr:blipFill>
              <a:blip xmlns:r="http://schemas.openxmlformats.org/officeDocument/2006/relationships" r:embed="rId1"/>
              <a:srcRect/>
              <a:stretch>
                <a:fillRect/>
              </a:stretch>
            </xdr:blipFill>
            <xdr:spPr bwMode="auto">
              <a:xfrm>
                <a:off x="4557671" y="5055367"/>
                <a:ext cx="2287832" cy="864321"/>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mc:Choice>
        <mc:Fallback xmlns=""/>
      </mc:AlternateContent>
    </xdr:grpSp>
    <xdr:clientData/>
  </xdr:twoCellAnchor>
  <xdr:twoCellAnchor>
    <xdr:from>
      <xdr:col>12</xdr:col>
      <xdr:colOff>580572</xdr:colOff>
      <xdr:row>24</xdr:row>
      <xdr:rowOff>130517</xdr:rowOff>
    </xdr:from>
    <xdr:to>
      <xdr:col>19</xdr:col>
      <xdr:colOff>32612</xdr:colOff>
      <xdr:row>32</xdr:row>
      <xdr:rowOff>122377</xdr:rowOff>
    </xdr:to>
    <xdr:grpSp>
      <xdr:nvGrpSpPr>
        <xdr:cNvPr id="115" name="Group 114">
          <a:extLst>
            <a:ext uri="{FF2B5EF4-FFF2-40B4-BE49-F238E27FC236}">
              <a16:creationId xmlns:a16="http://schemas.microsoft.com/office/drawing/2014/main" id="{28D51EAC-33D9-B212-0CBF-AA565F7F43AC}"/>
            </a:ext>
          </a:extLst>
        </xdr:cNvPr>
        <xdr:cNvGrpSpPr/>
      </xdr:nvGrpSpPr>
      <xdr:grpSpPr>
        <a:xfrm>
          <a:off x="7869268" y="4603126"/>
          <a:ext cx="3671167" cy="1482729"/>
          <a:chOff x="7912937" y="4557374"/>
          <a:chExt cx="3513389" cy="1443288"/>
        </a:xfrm>
      </xdr:grpSpPr>
      <xdr:sp macro="" textlink="">
        <xdr:nvSpPr>
          <xdr:cNvPr id="72" name="Rectangle: Rounded Corners 71">
            <a:extLst>
              <a:ext uri="{FF2B5EF4-FFF2-40B4-BE49-F238E27FC236}">
                <a16:creationId xmlns:a16="http://schemas.microsoft.com/office/drawing/2014/main" id="{FB2B5026-757A-2472-88C9-8942D628A681}"/>
              </a:ext>
            </a:extLst>
          </xdr:cNvPr>
          <xdr:cNvSpPr/>
        </xdr:nvSpPr>
        <xdr:spPr>
          <a:xfrm>
            <a:off x="7912937" y="4557374"/>
            <a:ext cx="3513389" cy="1443288"/>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US" sz="1100"/>
          </a:p>
        </xdr:txBody>
      </xdr:sp>
      <xdr:sp macro="" textlink="">
        <xdr:nvSpPr>
          <xdr:cNvPr id="73" name="TextBox 72">
            <a:extLst>
              <a:ext uri="{FF2B5EF4-FFF2-40B4-BE49-F238E27FC236}">
                <a16:creationId xmlns:a16="http://schemas.microsoft.com/office/drawing/2014/main" id="{D8E2A5D5-77B3-90F5-9ADE-7AC2A226C9DE}"/>
              </a:ext>
            </a:extLst>
          </xdr:cNvPr>
          <xdr:cNvSpPr txBox="1"/>
        </xdr:nvSpPr>
        <xdr:spPr>
          <a:xfrm>
            <a:off x="8159121" y="4636231"/>
            <a:ext cx="3073241" cy="410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a:t>Best-Selling</a:t>
            </a:r>
            <a:r>
              <a:rPr lang="en-US" sz="1800" baseline="0"/>
              <a:t> Game (by units)</a:t>
            </a:r>
            <a:endParaRPr lang="en-US" sz="1800"/>
          </a:p>
        </xdr:txBody>
      </xdr:sp>
      <mc:AlternateContent xmlns:mc="http://schemas.openxmlformats.org/markup-compatibility/2006" xmlns:a14="http://schemas.microsoft.com/office/drawing/2010/main">
        <mc:Choice Requires="a14">
          <xdr:pic>
            <xdr:nvPicPr>
              <xdr:cNvPr id="112" name="Picture 111">
                <a:extLst>
                  <a:ext uri="{FF2B5EF4-FFF2-40B4-BE49-F238E27FC236}">
                    <a16:creationId xmlns:a16="http://schemas.microsoft.com/office/drawing/2014/main" id="{D14E14E6-CE44-3715-E11A-8B01122134DA}"/>
                  </a:ext>
                </a:extLst>
              </xdr:cNvPr>
              <xdr:cNvPicPr>
                <a:picLocks noChangeAspect="1" noChangeArrowheads="1"/>
                <a:extLst>
                  <a:ext uri="{84589F7E-364E-4C9E-8A38-B11213B215E9}">
                    <a14:cameraTool cellRange="'Pivot Tables'!$U$12" spid="_x0000_s1341"/>
                  </a:ext>
                </a:extLst>
              </xdr:cNvPicPr>
            </xdr:nvPicPr>
            <xdr:blipFill>
              <a:blip xmlns:r="http://schemas.openxmlformats.org/officeDocument/2006/relationships" r:embed="rId2"/>
              <a:srcRect/>
              <a:stretch>
                <a:fillRect/>
              </a:stretch>
            </xdr:blipFill>
            <xdr:spPr bwMode="auto">
              <a:xfrm>
                <a:off x="8431439" y="5103812"/>
                <a:ext cx="2456543" cy="738414"/>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mc:Choice>
        <mc:Fallback xmlns=""/>
      </mc:AlternateContent>
    </xdr:grpSp>
    <xdr:clientData/>
  </xdr:twoCellAnchor>
  <xdr:twoCellAnchor>
    <xdr:from>
      <xdr:col>0</xdr:col>
      <xdr:colOff>63499</xdr:colOff>
      <xdr:row>33</xdr:row>
      <xdr:rowOff>0</xdr:rowOff>
    </xdr:from>
    <xdr:to>
      <xdr:col>9</xdr:col>
      <xdr:colOff>462643</xdr:colOff>
      <xdr:row>51</xdr:row>
      <xdr:rowOff>63500</xdr:rowOff>
    </xdr:to>
    <xdr:grpSp>
      <xdr:nvGrpSpPr>
        <xdr:cNvPr id="8" name="Group 7">
          <a:extLst>
            <a:ext uri="{FF2B5EF4-FFF2-40B4-BE49-F238E27FC236}">
              <a16:creationId xmlns:a16="http://schemas.microsoft.com/office/drawing/2014/main" id="{45D27D43-77B3-90A4-1156-6B3C673547E0}"/>
            </a:ext>
          </a:extLst>
        </xdr:cNvPr>
        <xdr:cNvGrpSpPr/>
      </xdr:nvGrpSpPr>
      <xdr:grpSpPr>
        <a:xfrm>
          <a:off x="63499" y="6149837"/>
          <a:ext cx="5865666" cy="3417956"/>
          <a:chOff x="63499" y="5987143"/>
          <a:chExt cx="5887358" cy="3329214"/>
        </a:xfrm>
      </xdr:grpSpPr>
      <xdr:sp macro="" textlink="">
        <xdr:nvSpPr>
          <xdr:cNvPr id="116" name="Rectangle: Rounded Corners 115">
            <a:extLst>
              <a:ext uri="{FF2B5EF4-FFF2-40B4-BE49-F238E27FC236}">
                <a16:creationId xmlns:a16="http://schemas.microsoft.com/office/drawing/2014/main" id="{6968F29F-C092-E620-0392-23A9F291F2B6}"/>
              </a:ext>
            </a:extLst>
          </xdr:cNvPr>
          <xdr:cNvSpPr/>
        </xdr:nvSpPr>
        <xdr:spPr>
          <a:xfrm>
            <a:off x="63499" y="5987143"/>
            <a:ext cx="5887358" cy="3329214"/>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120" name="Chart 119">
            <a:extLst>
              <a:ext uri="{FF2B5EF4-FFF2-40B4-BE49-F238E27FC236}">
                <a16:creationId xmlns:a16="http://schemas.microsoft.com/office/drawing/2014/main" id="{749563B7-795B-4C69-9824-380E43D67CE7}"/>
              </a:ext>
            </a:extLst>
          </xdr:cNvPr>
          <xdr:cNvGraphicFramePr>
            <a:graphicFrameLocks/>
          </xdr:cNvGraphicFramePr>
        </xdr:nvGraphicFramePr>
        <xdr:xfrm>
          <a:off x="263069" y="6222999"/>
          <a:ext cx="5524501" cy="2875644"/>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9</xdr:col>
      <xdr:colOff>544286</xdr:colOff>
      <xdr:row>33</xdr:row>
      <xdr:rowOff>0</xdr:rowOff>
    </xdr:from>
    <xdr:to>
      <xdr:col>19</xdr:col>
      <xdr:colOff>154213</xdr:colOff>
      <xdr:row>51</xdr:row>
      <xdr:rowOff>63500</xdr:rowOff>
    </xdr:to>
    <xdr:grpSp>
      <xdr:nvGrpSpPr>
        <xdr:cNvPr id="15" name="Group 14">
          <a:extLst>
            <a:ext uri="{FF2B5EF4-FFF2-40B4-BE49-F238E27FC236}">
              <a16:creationId xmlns:a16="http://schemas.microsoft.com/office/drawing/2014/main" id="{6F067C8D-3AA4-846E-7E98-C60DD730D72A}"/>
            </a:ext>
          </a:extLst>
        </xdr:cNvPr>
        <xdr:cNvGrpSpPr/>
      </xdr:nvGrpSpPr>
      <xdr:grpSpPr>
        <a:xfrm>
          <a:off x="6010808" y="6149837"/>
          <a:ext cx="5529627" cy="3417956"/>
          <a:chOff x="6048828" y="5994400"/>
          <a:chExt cx="5887358" cy="3329214"/>
        </a:xfrm>
      </xdr:grpSpPr>
      <xdr:sp macro="" textlink="">
        <xdr:nvSpPr>
          <xdr:cNvPr id="6" name="Rectangle: Rounded Corners 5">
            <a:extLst>
              <a:ext uri="{FF2B5EF4-FFF2-40B4-BE49-F238E27FC236}">
                <a16:creationId xmlns:a16="http://schemas.microsoft.com/office/drawing/2014/main" id="{151DD2AA-3130-4F36-961B-FAFCB3061635}"/>
              </a:ext>
            </a:extLst>
          </xdr:cNvPr>
          <xdr:cNvSpPr/>
        </xdr:nvSpPr>
        <xdr:spPr>
          <a:xfrm>
            <a:off x="6048828" y="5994400"/>
            <a:ext cx="5887358" cy="3329214"/>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4" name="Chart 3">
            <a:extLst>
              <a:ext uri="{FF2B5EF4-FFF2-40B4-BE49-F238E27FC236}">
                <a16:creationId xmlns:a16="http://schemas.microsoft.com/office/drawing/2014/main" id="{1F1CE703-0D60-41A9-B40B-B196707A4478}"/>
              </a:ext>
            </a:extLst>
          </xdr:cNvPr>
          <xdr:cNvGraphicFramePr>
            <a:graphicFrameLocks/>
          </xdr:cNvGraphicFramePr>
        </xdr:nvGraphicFramePr>
        <xdr:xfrm>
          <a:off x="6304642" y="6168571"/>
          <a:ext cx="5470072" cy="2993571"/>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xdr:from>
      <xdr:col>0</xdr:col>
      <xdr:colOff>25398</xdr:colOff>
      <xdr:row>51</xdr:row>
      <xdr:rowOff>143329</xdr:rowOff>
    </xdr:from>
    <xdr:to>
      <xdr:col>9</xdr:col>
      <xdr:colOff>462643</xdr:colOff>
      <xdr:row>70</xdr:row>
      <xdr:rowOff>25400</xdr:rowOff>
    </xdr:to>
    <xdr:grpSp>
      <xdr:nvGrpSpPr>
        <xdr:cNvPr id="24" name="Group 23">
          <a:extLst>
            <a:ext uri="{FF2B5EF4-FFF2-40B4-BE49-F238E27FC236}">
              <a16:creationId xmlns:a16="http://schemas.microsoft.com/office/drawing/2014/main" id="{6F797079-4FFC-9EB7-6292-2CBBE2846202}"/>
            </a:ext>
          </a:extLst>
        </xdr:cNvPr>
        <xdr:cNvGrpSpPr/>
      </xdr:nvGrpSpPr>
      <xdr:grpSpPr>
        <a:xfrm>
          <a:off x="25398" y="9647622"/>
          <a:ext cx="5903767" cy="3422887"/>
          <a:chOff x="88898" y="9378043"/>
          <a:chExt cx="7385959" cy="3329214"/>
        </a:xfrm>
      </xdr:grpSpPr>
      <xdr:sp macro="" textlink="">
        <xdr:nvSpPr>
          <xdr:cNvPr id="17" name="Rectangle: Rounded Corners 16">
            <a:extLst>
              <a:ext uri="{FF2B5EF4-FFF2-40B4-BE49-F238E27FC236}">
                <a16:creationId xmlns:a16="http://schemas.microsoft.com/office/drawing/2014/main" id="{1BFBB1AF-BB4A-0C1D-43E5-C4362801D8FA}"/>
              </a:ext>
            </a:extLst>
          </xdr:cNvPr>
          <xdr:cNvSpPr/>
        </xdr:nvSpPr>
        <xdr:spPr>
          <a:xfrm>
            <a:off x="88898" y="9378043"/>
            <a:ext cx="7385959" cy="3329214"/>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19" name="Chart 18">
            <a:extLst>
              <a:ext uri="{FF2B5EF4-FFF2-40B4-BE49-F238E27FC236}">
                <a16:creationId xmlns:a16="http://schemas.microsoft.com/office/drawing/2014/main" id="{31E3E9AD-A5C2-4520-A9BC-D248E8909CFA}"/>
              </a:ext>
            </a:extLst>
          </xdr:cNvPr>
          <xdr:cNvGraphicFramePr>
            <a:graphicFrameLocks/>
          </xdr:cNvGraphicFramePr>
        </xdr:nvGraphicFramePr>
        <xdr:xfrm>
          <a:off x="297541" y="9506857"/>
          <a:ext cx="3312887" cy="3040744"/>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20" name="Chart 19">
            <a:extLst>
              <a:ext uri="{FF2B5EF4-FFF2-40B4-BE49-F238E27FC236}">
                <a16:creationId xmlns:a16="http://schemas.microsoft.com/office/drawing/2014/main" id="{A50EE4D2-077F-43CC-A443-B3EF7D45DDCB}"/>
              </a:ext>
            </a:extLst>
          </xdr:cNvPr>
          <xdr:cNvGraphicFramePr>
            <a:graphicFrameLocks/>
          </xdr:cNvGraphicFramePr>
        </xdr:nvGraphicFramePr>
        <xdr:xfrm>
          <a:off x="3880755" y="9506856"/>
          <a:ext cx="3340102" cy="3011715"/>
        </xdr:xfrm>
        <a:graphic>
          <a:graphicData uri="http://schemas.openxmlformats.org/drawingml/2006/chart">
            <c:chart xmlns:c="http://schemas.openxmlformats.org/drawingml/2006/chart" xmlns:r="http://schemas.openxmlformats.org/officeDocument/2006/relationships" r:id="rId6"/>
          </a:graphicData>
        </a:graphic>
      </xdr:graphicFrame>
    </xdr:grpSp>
    <xdr:clientData/>
  </xdr:twoCellAnchor>
  <xdr:twoCellAnchor>
    <xdr:from>
      <xdr:col>9</xdr:col>
      <xdr:colOff>517073</xdr:colOff>
      <xdr:row>51</xdr:row>
      <xdr:rowOff>143329</xdr:rowOff>
    </xdr:from>
    <xdr:to>
      <xdr:col>19</xdr:col>
      <xdr:colOff>172357</xdr:colOff>
      <xdr:row>70</xdr:row>
      <xdr:rowOff>70757</xdr:rowOff>
    </xdr:to>
    <xdr:grpSp>
      <xdr:nvGrpSpPr>
        <xdr:cNvPr id="32" name="Group 31">
          <a:extLst>
            <a:ext uri="{FF2B5EF4-FFF2-40B4-BE49-F238E27FC236}">
              <a16:creationId xmlns:a16="http://schemas.microsoft.com/office/drawing/2014/main" id="{564F1810-4E10-5EDF-85A9-A3F07AE2E95D}"/>
            </a:ext>
          </a:extLst>
        </xdr:cNvPr>
        <xdr:cNvGrpSpPr/>
      </xdr:nvGrpSpPr>
      <xdr:grpSpPr>
        <a:xfrm>
          <a:off x="5983595" y="9647622"/>
          <a:ext cx="5556840" cy="3468244"/>
          <a:chOff x="5987144" y="9396186"/>
          <a:chExt cx="5733142" cy="3374571"/>
        </a:xfrm>
      </xdr:grpSpPr>
      <xdr:sp macro="" textlink="">
        <xdr:nvSpPr>
          <xdr:cNvPr id="23" name="Rectangle: Rounded Corners 22">
            <a:extLst>
              <a:ext uri="{FF2B5EF4-FFF2-40B4-BE49-F238E27FC236}">
                <a16:creationId xmlns:a16="http://schemas.microsoft.com/office/drawing/2014/main" id="{3DDCA12C-B704-3F25-3AE5-DD6AD57F0852}"/>
              </a:ext>
            </a:extLst>
          </xdr:cNvPr>
          <xdr:cNvSpPr/>
        </xdr:nvSpPr>
        <xdr:spPr>
          <a:xfrm>
            <a:off x="5987144" y="9396186"/>
            <a:ext cx="5733142" cy="3374571"/>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28" name="Chart 27">
            <a:extLst>
              <a:ext uri="{FF2B5EF4-FFF2-40B4-BE49-F238E27FC236}">
                <a16:creationId xmlns:a16="http://schemas.microsoft.com/office/drawing/2014/main" id="{C64F7968-3E2B-4A04-ACA9-D91A6493BE97}"/>
              </a:ext>
            </a:extLst>
          </xdr:cNvPr>
          <xdr:cNvGraphicFramePr>
            <a:graphicFrameLocks/>
          </xdr:cNvGraphicFramePr>
        </xdr:nvGraphicFramePr>
        <xdr:xfrm>
          <a:off x="6141357" y="9670143"/>
          <a:ext cx="5479143" cy="2857500"/>
        </xdr:xfrm>
        <a:graphic>
          <a:graphicData uri="http://schemas.openxmlformats.org/drawingml/2006/chart">
            <c:chart xmlns:c="http://schemas.openxmlformats.org/drawingml/2006/chart" xmlns:r="http://schemas.openxmlformats.org/officeDocument/2006/relationships" r:id="rId7"/>
          </a:graphicData>
        </a:graphic>
      </xdr:graphicFrame>
    </xdr:grpSp>
    <xdr:clientData/>
  </xdr:twoCellAnchor>
  <xdr:twoCellAnchor>
    <xdr:from>
      <xdr:col>0</xdr:col>
      <xdr:colOff>54428</xdr:colOff>
      <xdr:row>70</xdr:row>
      <xdr:rowOff>116113</xdr:rowOff>
    </xdr:from>
    <xdr:to>
      <xdr:col>9</xdr:col>
      <xdr:colOff>462643</xdr:colOff>
      <xdr:row>89</xdr:row>
      <xdr:rowOff>7256</xdr:rowOff>
    </xdr:to>
    <xdr:grpSp>
      <xdr:nvGrpSpPr>
        <xdr:cNvPr id="34" name="Group 33">
          <a:extLst>
            <a:ext uri="{FF2B5EF4-FFF2-40B4-BE49-F238E27FC236}">
              <a16:creationId xmlns:a16="http://schemas.microsoft.com/office/drawing/2014/main" id="{B0B79E17-D896-CC9F-63AF-0F5F917D4FB8}"/>
            </a:ext>
          </a:extLst>
        </xdr:cNvPr>
        <xdr:cNvGrpSpPr/>
      </xdr:nvGrpSpPr>
      <xdr:grpSpPr>
        <a:xfrm>
          <a:off x="54428" y="13161222"/>
          <a:ext cx="5874737" cy="3431958"/>
          <a:chOff x="54428" y="12826999"/>
          <a:chExt cx="5724071" cy="3338286"/>
        </a:xfrm>
      </xdr:grpSpPr>
      <xdr:sp macro="" textlink="">
        <xdr:nvSpPr>
          <xdr:cNvPr id="29" name="Rectangle: Rounded Corners 28">
            <a:extLst>
              <a:ext uri="{FF2B5EF4-FFF2-40B4-BE49-F238E27FC236}">
                <a16:creationId xmlns:a16="http://schemas.microsoft.com/office/drawing/2014/main" id="{A2138EC0-8351-B24C-97BB-449CF34A016C}"/>
              </a:ext>
            </a:extLst>
          </xdr:cNvPr>
          <xdr:cNvSpPr/>
        </xdr:nvSpPr>
        <xdr:spPr>
          <a:xfrm>
            <a:off x="54428" y="12826999"/>
            <a:ext cx="5724071" cy="3338286"/>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31" name="Chart 30">
            <a:extLst>
              <a:ext uri="{FF2B5EF4-FFF2-40B4-BE49-F238E27FC236}">
                <a16:creationId xmlns:a16="http://schemas.microsoft.com/office/drawing/2014/main" id="{0466D9F6-4E13-4F2E-BDBE-98CB5A43AF0B}"/>
              </a:ext>
            </a:extLst>
          </xdr:cNvPr>
          <xdr:cNvGraphicFramePr>
            <a:graphicFrameLocks/>
          </xdr:cNvGraphicFramePr>
        </xdr:nvGraphicFramePr>
        <xdr:xfrm>
          <a:off x="263070" y="13017499"/>
          <a:ext cx="5297715" cy="2975430"/>
        </xdr:xfrm>
        <a:graphic>
          <a:graphicData uri="http://schemas.openxmlformats.org/drawingml/2006/chart">
            <c:chart xmlns:c="http://schemas.openxmlformats.org/drawingml/2006/chart" xmlns:r="http://schemas.openxmlformats.org/officeDocument/2006/relationships" r:id="rId8"/>
          </a:graphicData>
        </a:graphic>
      </xdr:graphicFrame>
    </xdr:grpSp>
    <xdr:clientData/>
  </xdr:twoCellAnchor>
  <xdr:twoCellAnchor>
    <xdr:from>
      <xdr:col>9</xdr:col>
      <xdr:colOff>560614</xdr:colOff>
      <xdr:row>70</xdr:row>
      <xdr:rowOff>116113</xdr:rowOff>
    </xdr:from>
    <xdr:to>
      <xdr:col>19</xdr:col>
      <xdr:colOff>206827</xdr:colOff>
      <xdr:row>89</xdr:row>
      <xdr:rowOff>7256</xdr:rowOff>
    </xdr:to>
    <xdr:grpSp>
      <xdr:nvGrpSpPr>
        <xdr:cNvPr id="37" name="Group 36">
          <a:extLst>
            <a:ext uri="{FF2B5EF4-FFF2-40B4-BE49-F238E27FC236}">
              <a16:creationId xmlns:a16="http://schemas.microsoft.com/office/drawing/2014/main" id="{CAF9B33B-7032-9C89-381D-3675D60B4403}"/>
            </a:ext>
          </a:extLst>
        </xdr:cNvPr>
        <xdr:cNvGrpSpPr/>
      </xdr:nvGrpSpPr>
      <xdr:grpSpPr>
        <a:xfrm>
          <a:off x="6027136" y="13161222"/>
          <a:ext cx="5513299" cy="3431958"/>
          <a:chOff x="6030685" y="12816113"/>
          <a:chExt cx="5724071" cy="3338286"/>
        </a:xfrm>
      </xdr:grpSpPr>
      <xdr:sp macro="" textlink="">
        <xdr:nvSpPr>
          <xdr:cNvPr id="33" name="Rectangle: Rounded Corners 32">
            <a:extLst>
              <a:ext uri="{FF2B5EF4-FFF2-40B4-BE49-F238E27FC236}">
                <a16:creationId xmlns:a16="http://schemas.microsoft.com/office/drawing/2014/main" id="{5840507B-8EB3-4A6A-BCB1-F7F2CC6884F4}"/>
              </a:ext>
            </a:extLst>
          </xdr:cNvPr>
          <xdr:cNvSpPr/>
        </xdr:nvSpPr>
        <xdr:spPr>
          <a:xfrm>
            <a:off x="6030685" y="12816113"/>
            <a:ext cx="5724071" cy="3338286"/>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36" name="Chart 35">
            <a:extLst>
              <a:ext uri="{FF2B5EF4-FFF2-40B4-BE49-F238E27FC236}">
                <a16:creationId xmlns:a16="http://schemas.microsoft.com/office/drawing/2014/main" id="{3101D502-A3A3-442D-8A2E-0DBF2DFA36A8}"/>
              </a:ext>
            </a:extLst>
          </xdr:cNvPr>
          <xdr:cNvGraphicFramePr>
            <a:graphicFrameLocks/>
          </xdr:cNvGraphicFramePr>
        </xdr:nvGraphicFramePr>
        <xdr:xfrm>
          <a:off x="6195785" y="13042897"/>
          <a:ext cx="5406571" cy="2886531"/>
        </xdr:xfrm>
        <a:graphic>
          <a:graphicData uri="http://schemas.openxmlformats.org/drawingml/2006/chart">
            <c:chart xmlns:c="http://schemas.openxmlformats.org/drawingml/2006/chart" xmlns:r="http://schemas.openxmlformats.org/officeDocument/2006/relationships" r:id="rId9"/>
          </a:graphicData>
        </a:graphic>
      </xdr:graphicFrame>
    </xdr:grpSp>
    <xdr:clientData/>
  </xdr:twoCellAnchor>
  <xdr:twoCellAnchor>
    <xdr:from>
      <xdr:col>6</xdr:col>
      <xdr:colOff>408215</xdr:colOff>
      <xdr:row>89</xdr:row>
      <xdr:rowOff>90715</xdr:rowOff>
    </xdr:from>
    <xdr:to>
      <xdr:col>12</xdr:col>
      <xdr:colOff>462643</xdr:colOff>
      <xdr:row>100</xdr:row>
      <xdr:rowOff>163287</xdr:rowOff>
    </xdr:to>
    <xdr:grpSp>
      <xdr:nvGrpSpPr>
        <xdr:cNvPr id="16" name="Group 15">
          <a:extLst>
            <a:ext uri="{FF2B5EF4-FFF2-40B4-BE49-F238E27FC236}">
              <a16:creationId xmlns:a16="http://schemas.microsoft.com/office/drawing/2014/main" id="{62187429-BC62-D0DA-AB33-5294D23930A8}"/>
            </a:ext>
          </a:extLst>
        </xdr:cNvPr>
        <xdr:cNvGrpSpPr/>
      </xdr:nvGrpSpPr>
      <xdr:grpSpPr>
        <a:xfrm>
          <a:off x="4052563" y="16676639"/>
          <a:ext cx="3698776" cy="2122518"/>
          <a:chOff x="3918857" y="16283214"/>
          <a:chExt cx="3701143" cy="2068286"/>
        </a:xfrm>
      </xdr:grpSpPr>
      <xdr:sp macro="" textlink="">
        <xdr:nvSpPr>
          <xdr:cNvPr id="3" name="Rectangle: Rounded Corners 2">
            <a:extLst>
              <a:ext uri="{FF2B5EF4-FFF2-40B4-BE49-F238E27FC236}">
                <a16:creationId xmlns:a16="http://schemas.microsoft.com/office/drawing/2014/main" id="{AB6E41B5-2B65-1FE1-F197-E7B7447E947D}"/>
              </a:ext>
            </a:extLst>
          </xdr:cNvPr>
          <xdr:cNvSpPr/>
        </xdr:nvSpPr>
        <xdr:spPr>
          <a:xfrm>
            <a:off x="3918857" y="16283214"/>
            <a:ext cx="3701143" cy="2068286"/>
          </a:xfrm>
          <a:prstGeom prst="roundRect">
            <a:avLst/>
          </a:prstGeom>
          <a:solidFill>
            <a:schemeClr val="accent4"/>
          </a:solidFill>
          <a:ln>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5" name="TextBox 4">
            <a:extLst>
              <a:ext uri="{FF2B5EF4-FFF2-40B4-BE49-F238E27FC236}">
                <a16:creationId xmlns:a16="http://schemas.microsoft.com/office/drawing/2014/main" id="{4009D7F6-84B2-2552-08BD-89A38421E6E7}"/>
              </a:ext>
            </a:extLst>
          </xdr:cNvPr>
          <xdr:cNvSpPr txBox="1"/>
        </xdr:nvSpPr>
        <xdr:spPr>
          <a:xfrm>
            <a:off x="4136571" y="16419286"/>
            <a:ext cx="3320143" cy="1832429"/>
          </a:xfrm>
          <a:prstGeom prst="rect">
            <a:avLst/>
          </a:prstGeom>
          <a:solidFill>
            <a:schemeClr val="lt1"/>
          </a:solidFill>
          <a:ln w="9525" cmpd="sng">
            <a:solidFill>
              <a:schemeClr val="lt1">
                <a:shade val="50000"/>
                <a:alpha val="94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a:t>Data Integrity</a:t>
            </a:r>
          </a:p>
          <a:p>
            <a:pPr algn="ctr"/>
            <a:br>
              <a:rPr lang="en-US" sz="2000"/>
            </a:br>
            <a:r>
              <a:rPr lang="en-US" sz="1800"/>
              <a:t>Estimates</a:t>
            </a:r>
            <a:r>
              <a:rPr lang="en-US" sz="1800" baseline="0"/>
              <a:t> included: </a:t>
            </a:r>
            <a:r>
              <a:rPr lang="en-US" sz="1800" b="1" baseline="0"/>
              <a:t>[Yes/No]</a:t>
            </a:r>
          </a:p>
          <a:p>
            <a:pPr algn="ctr"/>
            <a:endParaRPr lang="en-US" sz="1800" b="1" baseline="0"/>
          </a:p>
          <a:p>
            <a:pPr algn="ctr"/>
            <a:r>
              <a:rPr lang="en-US" sz="1800" b="0" baseline="0"/>
              <a:t>Basis: </a:t>
            </a:r>
            <a:r>
              <a:rPr lang="en-US" sz="1800" b="1" baseline="0"/>
              <a:t>[Lifetime] </a:t>
            </a:r>
            <a:r>
              <a:rPr lang="en-US" sz="1800" b="0" baseline="0"/>
              <a:t>or </a:t>
            </a:r>
            <a:r>
              <a:rPr lang="en-US" sz="1800" b="1" baseline="0"/>
              <a:t>[As-of: YYYY-MM-DD]</a:t>
            </a:r>
            <a:endParaRPr lang="en-US" sz="1800" b="0"/>
          </a:p>
        </xdr:txBody>
      </xdr:sp>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ttler, Arnisha" refreshedDate="46054.88401134259" createdVersion="8" refreshedVersion="8" minRefreshableVersion="3" recordCount="27" xr:uid="{B42B765F-CE80-4E34-86C2-D3134E1797FA}">
  <cacheSource type="worksheet">
    <worksheetSource name="vg_data"/>
  </cacheSource>
  <cacheFields count="52">
    <cacheField name="ConsoleName" numFmtId="0">
      <sharedItems count="28">
        <s v="Dreamcast"/>
        <s v="Game Boy"/>
        <s v="Game Boy Advance"/>
        <s v="Game Gear"/>
        <s v="GameCube"/>
        <s v="Genesis (Mega Drive)"/>
        <s v="NES"/>
        <s v="Nintendo 3DS"/>
        <s v="Nintendo 64"/>
        <s v="Nintendo DS"/>
        <s v="PlayStation 1"/>
        <s v="PlayStation 2"/>
        <s v="PlayStation 3"/>
        <s v="PlayStation 4"/>
        <s v="PlayStation 5"/>
        <s v="PlayStation Portable"/>
        <s v="PlayStation Vita"/>
        <s v="Saturn"/>
        <s v="Super Nintendo"/>
        <s v="Nintendo Switch"/>
        <s v="Wii"/>
        <s v="Wii U"/>
        <s v="Xbox"/>
        <s v="Xbox 360"/>
        <s v="Xbox One"/>
        <s v="Xbox Series X/S"/>
        <s v="Nintendo Switch 2"/>
        <s v="Switch" u="1"/>
      </sharedItems>
    </cacheField>
    <cacheField name="Manufacturer" numFmtId="0">
      <sharedItems count="4">
        <s v="Sega"/>
        <s v="Nintendo"/>
        <s v="Sony"/>
        <s v="Microsoft"/>
      </sharedItems>
    </cacheField>
    <cacheField name="Generation" numFmtId="0">
      <sharedItems count="7">
        <s v="6th Gen"/>
        <s v="4th Gen"/>
        <s v="3rd Gen"/>
        <s v="8th Gen"/>
        <s v="5th Gen"/>
        <s v="7th Gen"/>
        <s v="9th Gen"/>
      </sharedItems>
    </cacheField>
    <cacheField name="GameReleaseDate" numFmtId="166">
      <sharedItems containsSemiMixedTypes="0" containsNonDate="0" containsDate="1" containsString="0" minDate="1985-10-18T00:00:00" maxDate="2025-06-06T00:00:00"/>
    </cacheField>
    <cacheField name="BestSellingGameTitle" numFmtId="0">
      <sharedItems count="26">
        <s v="Sonic Adventure"/>
        <s v="Tetris"/>
        <s v="Pokemon Ruby &amp; Sapphire"/>
        <s v="Sonic the Hedgehog"/>
        <s v="Super Smash Bros. Melee"/>
        <s v="Super Mario Bros."/>
        <s v="Mario Kart 7"/>
        <s v="Super Mario 64"/>
        <s v="Nintendogs"/>
        <s v="Gran Turismo"/>
        <s v="Grand Theft Auto: San Andreas"/>
        <s v="Grand Theft Auto V"/>
        <s v="Marvel's Spider-Man"/>
        <s v="Marvel's Spider-Man 2"/>
        <s v="Grand Theft Auto: Liberty City Stories"/>
        <s v="Uncharted: Golden Abyss"/>
        <s v="Virtua Fighter 2"/>
        <s v="Super Mario World"/>
        <s v="Mario Kart 8 Deluxe"/>
        <s v="Wii Sports"/>
        <s v="Mario Kart 8"/>
        <s v="Halo: Combat Evolved"/>
        <s v="Kinect Adventures!"/>
        <s v="PlayerUnknown's Battlegrounds"/>
        <s v="Call of Duty: Modern Warfare II"/>
        <s v="Mario Kart World"/>
      </sharedItems>
    </cacheField>
    <cacheField name="BestSellingUnitsSold" numFmtId="3">
      <sharedItems containsSemiMixedTypes="0" containsString="0" containsNumber="1" containsInteger="1" minValue="1300000" maxValue="82900000"/>
    </cacheField>
    <cacheField name="Estimated Game Revenue (proxy) (USD)" numFmtId="165">
      <sharedItems containsSemiMixedTypes="0" containsString="0" containsNumber="1" containsInteger="1" minValue="65000000" maxValue="3600000000"/>
    </cacheField>
    <cacheField name="Genre" numFmtId="0">
      <sharedItems/>
    </cacheField>
    <cacheField name="Region" numFmtId="0">
      <sharedItems/>
    </cacheField>
    <cacheField name="Developer" numFmtId="0">
      <sharedItems/>
    </cacheField>
    <cacheField name="HardwareUnitsSold (Global)" numFmtId="3">
      <sharedItems containsSemiMixedTypes="0" containsString="0" containsNumber="1" containsInteger="1" minValue="9130000" maxValue="160000000"/>
    </cacheField>
    <cacheField name="Estimated Hardware Revenue (proxy) (Global USD)" numFmtId="167">
      <sharedItems containsSemiMixedTypes="0" containsString="0" containsNumber="1" minValue="1582380000" maxValue="47840000000"/>
    </cacheField>
    <cacheField name="HardwareSalesBasis (Lifetime or As-of YYYY-MM-DD)" numFmtId="49">
      <sharedItems/>
    </cacheField>
    <cacheField name="LaunchYear" numFmtId="1">
      <sharedItems containsSemiMixedTypes="0" containsString="0" containsNumber="1" containsInteger="1" minValue="1985" maxValue="2025"/>
    </cacheField>
    <cacheField name="EndOfLifeYear" numFmtId="1">
      <sharedItems containsString="0" containsBlank="1" containsNumber="1" containsInteger="1" minValue="1995" maxValue="2024"/>
    </cacheField>
    <cacheField name="US_MSRP_Low_USD" numFmtId="168">
      <sharedItems containsSemiMixedTypes="0" containsString="0" containsNumber="1" minValue="89.99" maxValue="499.99"/>
    </cacheField>
    <cacheField name="US_MSRP_High_USD" numFmtId="168">
      <sharedItems containsString="0" containsBlank="1" containsNumber="1" minValue="349" maxValue="599.99"/>
    </cacheField>
    <cacheField name="US_MSRP_Ref_USD" numFmtId="0">
      <sharedItems containsSemiMixedTypes="0" containsString="0" containsNumber="1" minValue="89.99" maxValue="549.99"/>
    </cacheField>
    <cacheField name="MSRP_Source_URL" numFmtId="0">
      <sharedItems/>
    </cacheField>
    <cacheField name="HardwareASP_USD" numFmtId="0">
      <sharedItems containsSemiMixedTypes="0" containsString="0" containsNumber="1" minValue="89" maxValue="499"/>
    </cacheField>
    <cacheField name="ImpliedRegionMultiplier" numFmtId="2">
      <sharedItems containsSemiMixedTypes="0" containsString="0" containsNumber="1" minValue="0.85673352435530081" maxValue="1.111358574610245"/>
    </cacheField>
    <cacheField name="SalesBasisType" numFmtId="49">
      <sharedItems count="3">
        <s v="Lifetime"/>
        <s v="AsOf"/>
        <s v="Estimate"/>
      </sharedItems>
    </cacheField>
    <cacheField name="AsOfGranularity" numFmtId="49">
      <sharedItems/>
    </cacheField>
    <cacheField name="AsOfDate" numFmtId="169">
      <sharedItems containsDate="1" containsMixedTypes="1" minDate="1996-03-31T00:00:00" maxDate="2026-01-01T00:00:00" count="10">
        <s v=""/>
        <d v="1996-03-31T00:00:00"/>
        <d v="2022-09-30T00:00:00"/>
        <d v="2022-03-31T00:00:00"/>
        <d v="2025-11-12T00:00:00"/>
        <d v="2025-12-31T00:00:00"/>
        <d v="2014-06-09T00:00:00"/>
        <d v="2023-06-30T00:00:00"/>
        <d v="2024-06-30T00:00:00"/>
        <d v="2025-09-30T00:00:00"/>
      </sharedItems>
    </cacheField>
    <cacheField name="ActiveFlag" numFmtId="49">
      <sharedItems count="2">
        <s v="Ended"/>
        <s v="Active"/>
      </sharedItems>
    </cacheField>
    <cacheField name="LifecycleYears" numFmtId="1">
      <sharedItems containsMixedTypes="1" containsNumber="1" containsInteger="1" minValue="3" maxValue="14"/>
    </cacheField>
    <cacheField name="IsHardwareRevenueMissing" numFmtId="1">
      <sharedItems containsSemiMixedTypes="0" containsString="0" containsNumber="1" containsInteger="1" minValue="0" maxValue="0"/>
    </cacheField>
    <cacheField name="IsHardwareEstimate" numFmtId="1">
      <sharedItems containsSemiMixedTypes="0" containsString="0" containsNumber="1" containsInteger="1" minValue="0" maxValue="1" count="2">
        <n v="0"/>
        <n v="1"/>
      </sharedItems>
    </cacheField>
    <cacheField name="HardwareRevenueMethod" numFmtId="49">
      <sharedItems/>
    </cacheField>
    <cacheField name="IsGameRevenueEstimated" numFmtId="1">
      <sharedItems containsSemiMixedTypes="0" containsString="0" containsNumber="1" containsInteger="1" minValue="0" maxValue="1"/>
    </cacheField>
    <cacheField name="GameRevenueMethod" numFmtId="49">
      <sharedItems/>
    </cacheField>
    <cacheField name="BestSellerGameASP_USD" numFmtId="168">
      <sharedItems containsSemiMixedTypes="0" containsString="0" containsNumber="1" minValue="25" maxValue="79.989999999999995"/>
    </cacheField>
    <cacheField name="BestSellerAttachRate" numFmtId="170">
      <sharedItems containsSemiMixedTypes="0" containsString="0" containsNumber="1" minValue="8.1250000000000003E-2" maxValue="0.92374517374517373"/>
    </cacheField>
    <cacheField name="HW_Units_NA (proxy)" numFmtId="3">
      <sharedItems containsSemiMixedTypes="0" containsString="0" containsNumber="1" containsInteger="1" minValue="2282500" maxValue="40000000"/>
    </cacheField>
    <cacheField name="HW_Units_EU (proxy)" numFmtId="3">
      <sharedItems containsSemiMixedTypes="0" containsString="0" containsNumber="1" containsInteger="1" minValue="2282500" maxValue="40000000"/>
    </cacheField>
    <cacheField name="HW_Units_JP (proxy)" numFmtId="3">
      <sharedItems containsSemiMixedTypes="0" containsString="0" containsNumber="1" containsInteger="1" minValue="2282500" maxValue="40000000"/>
    </cacheField>
    <cacheField name="HW_Units_ROW (proxy)" numFmtId="3">
      <sharedItems containsSemiMixedTypes="0" containsString="0" containsNumber="1" containsInteger="1" minValue="2282500" maxValue="40000000"/>
    </cacheField>
    <cacheField name="HW_Revenue_NA (proxy USD)" numFmtId="167">
      <sharedItems containsSemiMixedTypes="0" containsString="0" containsNumber="1" minValue="395595000" maxValue="11960000000"/>
    </cacheField>
    <cacheField name="HW_Revenue_EU (proxy USD)" numFmtId="167">
      <sharedItems containsSemiMixedTypes="0" containsString="0" containsNumber="1" minValue="395595000" maxValue="11960000000"/>
    </cacheField>
    <cacheField name="HW_Revenue_JP (proxy USD)" numFmtId="167">
      <sharedItems containsSemiMixedTypes="0" containsString="0" containsNumber="1" minValue="395595000" maxValue="11960000000"/>
    </cacheField>
    <cacheField name="HW_Revenue_ROW (proxy USD)" numFmtId="167">
      <sharedItems containsSemiMixedTypes="0" containsString="0" containsNumber="1" minValue="395595000" maxValue="11960000000"/>
    </cacheField>
    <cacheField name="Game_Units_NA (proxy)" numFmtId="3">
      <sharedItems containsSemiMixedTypes="0" containsString="0" containsNumber="1" containsInteger="1" minValue="325000" maxValue="20725000"/>
    </cacheField>
    <cacheField name="Game_Units_EU (proxy)" numFmtId="3">
      <sharedItems containsSemiMixedTypes="0" containsString="0" containsNumber="1" containsInteger="1" minValue="325000" maxValue="20725000"/>
    </cacheField>
    <cacheField name="Game_Units_JP (proxy)" numFmtId="3">
      <sharedItems containsSemiMixedTypes="0" containsString="0" containsNumber="1" containsInteger="1" minValue="325000" maxValue="20725000"/>
    </cacheField>
    <cacheField name="Game_Units_ROW (proxy)" numFmtId="3">
      <sharedItems containsSemiMixedTypes="0" containsString="0" containsNumber="1" containsInteger="1" minValue="325000" maxValue="20725000"/>
    </cacheField>
    <cacheField name="Game_Revenue_NA (proxy USD)" numFmtId="167">
      <sharedItems containsSemiMixedTypes="0" containsString="0" containsNumber="1" containsInteger="1" minValue="16250000" maxValue="900000000"/>
    </cacheField>
    <cacheField name="Game_Revenue_EU (proxy USD)" numFmtId="167">
      <sharedItems containsSemiMixedTypes="0" containsString="0" containsNumber="1" containsInteger="1" minValue="16250000" maxValue="900000000"/>
    </cacheField>
    <cacheField name="Game_Revenue_JP (proxy USD)" numFmtId="167">
      <sharedItems containsSemiMixedTypes="0" containsString="0" containsNumber="1" containsInteger="1" minValue="16250000" maxValue="900000000"/>
    </cacheField>
    <cacheField name="Game_Revenue_ROW (proxy USD)" numFmtId="167">
      <sharedItems containsSemiMixedTypes="0" containsString="0" containsNumber="1" containsInteger="1" minValue="16250000" maxValue="900000000"/>
    </cacheField>
    <cacheField name="IsRegionalEstimate" numFmtId="1">
      <sharedItems containsSemiMixedTypes="0" containsString="0" containsNumber="1" containsInteger="1" minValue="1" maxValue="1"/>
    </cacheField>
    <cacheField name="RegionalSplitMethod" numFmtId="0">
      <sharedItems/>
    </cacheField>
    <cacheField name="RegionDefinition" numFmtId="0">
      <sharedItems/>
    </cacheField>
  </cacheFields>
  <extLst>
    <ext xmlns:x14="http://schemas.microsoft.com/office/spreadsheetml/2009/9/main" uri="{725AE2AE-9491-48be-B2B4-4EB974FC3084}">
      <x14:pivotCacheDefinition pivotCacheId="49977847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7">
  <r>
    <x v="0"/>
    <x v="0"/>
    <x v="0"/>
    <d v="1999-09-09T00:00:00"/>
    <x v="0"/>
    <n v="2500000"/>
    <n v="125000000"/>
    <s v="Platformer"/>
    <s v="Global"/>
    <s v="Sonic Team"/>
    <n v="9130000"/>
    <n v="1816870000"/>
    <s v="Lifetime"/>
    <n v="1998"/>
    <n v="2001"/>
    <n v="199"/>
    <m/>
    <n v="199"/>
    <s v="https://en.wikipedia.org/wiki/Dreamcast"/>
    <n v="199"/>
    <n v="1"/>
    <x v="0"/>
    <s v=""/>
    <x v="0"/>
    <x v="0"/>
    <n v="3"/>
    <n v="0"/>
    <x v="0"/>
    <s v="Proxy (input)"/>
    <n v="0"/>
    <s v="Proxy (input)"/>
    <n v="50"/>
    <n v="0.2738225629791895"/>
    <n v="2282500"/>
    <n v="2282500"/>
    <n v="2282500"/>
    <n v="2282500"/>
    <n v="454217500"/>
    <n v="454217500"/>
    <n v="454217500"/>
    <n v="454217500"/>
    <n v="625000"/>
    <n v="625000"/>
    <n v="625000"/>
    <n v="625000"/>
    <n v="31250000"/>
    <n v="31250000"/>
    <n v="31250000"/>
    <n v="31250000"/>
    <n v="1"/>
    <s v="Proxy split (assumption shares)"/>
    <s v="NA=US+Canada; EU=Europe; JP=Japan; ROW=Rest of World"/>
  </r>
  <r>
    <x v="1"/>
    <x v="1"/>
    <x v="1"/>
    <d v="1989-07-31T00:00:00"/>
    <x v="1"/>
    <n v="35000000"/>
    <n v="875000000"/>
    <s v="Puzzle"/>
    <s v="Global"/>
    <s v="Nintendo"/>
    <n v="118690000"/>
    <n v="10563410000"/>
    <s v="Lifetime (Game Boy + Color)"/>
    <n v="1989"/>
    <n v="2003"/>
    <n v="89.99"/>
    <m/>
    <n v="89.99"/>
    <s v="https://en.wikipedia.org/wiki/Game_Boy"/>
    <n v="89"/>
    <n v="0.98899877764196031"/>
    <x v="0"/>
    <s v=""/>
    <x v="0"/>
    <x v="0"/>
    <n v="14"/>
    <n v="0"/>
    <x v="0"/>
    <s v="Proxy (input)"/>
    <n v="0"/>
    <s v="Proxy (input)"/>
    <n v="25"/>
    <n v="0.29488583705451177"/>
    <n v="29672500"/>
    <n v="29672500"/>
    <n v="29672500"/>
    <n v="29672500"/>
    <n v="2640852500"/>
    <n v="2640852500"/>
    <n v="2640852500"/>
    <n v="2640852500"/>
    <n v="8750000"/>
    <n v="8750000"/>
    <n v="8750000"/>
    <n v="8750000"/>
    <n v="218750000"/>
    <n v="218750000"/>
    <n v="218750000"/>
    <n v="218750000"/>
    <n v="1"/>
    <s v="Proxy split (assumption shares)"/>
    <s v="NA=US+Canada; EU=Europe; JP=Japan; ROW=Rest of World"/>
  </r>
  <r>
    <x v="2"/>
    <x v="1"/>
    <x v="0"/>
    <d v="2001-06-11T00:00:00"/>
    <x v="2"/>
    <n v="16200000"/>
    <n v="810000000"/>
    <s v="RPG"/>
    <s v="Global"/>
    <s v="Game Freak"/>
    <n v="81510000"/>
    <n v="8069490000"/>
    <s v="Lifetime"/>
    <n v="2001"/>
    <n v="2010"/>
    <n v="99.99"/>
    <m/>
    <n v="99.99"/>
    <s v="https://en.wikipedia.org/wiki/Game_Boy_Advance"/>
    <n v="99"/>
    <n v="0.9900990099009902"/>
    <x v="0"/>
    <s v=""/>
    <x v="0"/>
    <x v="0"/>
    <n v="9"/>
    <n v="0"/>
    <x v="0"/>
    <s v="Proxy (input)"/>
    <n v="0"/>
    <s v="Proxy (input)"/>
    <n v="50"/>
    <n v="0.19874861980125139"/>
    <n v="20377500"/>
    <n v="20377500"/>
    <n v="20377500"/>
    <n v="20377500"/>
    <n v="2017372500"/>
    <n v="2017372500"/>
    <n v="2017372500"/>
    <n v="2017372500"/>
    <n v="4050000"/>
    <n v="4050000"/>
    <n v="4050000"/>
    <n v="4050000"/>
    <n v="202500000"/>
    <n v="202500000"/>
    <n v="202500000"/>
    <n v="202500000"/>
    <n v="1"/>
    <s v="Proxy split (assumption shares)"/>
    <s v="NA=US+Canada; EU=Europe; JP=Japan; ROW=Rest of World"/>
  </r>
  <r>
    <x v="3"/>
    <x v="0"/>
    <x v="1"/>
    <d v="1991-04-28T00:00:00"/>
    <x v="3"/>
    <n v="2700000"/>
    <n v="81000000"/>
    <s v="Platformer"/>
    <s v="Global"/>
    <s v="Sega"/>
    <n v="10620000"/>
    <n v="1582380000"/>
    <s v="As of 1996-03"/>
    <n v="1990"/>
    <n v="1997"/>
    <n v="149.99"/>
    <m/>
    <n v="149.99"/>
    <s v="https://en.wikipedia.org/wiki/Game_Gear"/>
    <n v="149"/>
    <n v="0.99339955997066465"/>
    <x v="1"/>
    <s v="Month"/>
    <x v="1"/>
    <x v="0"/>
    <n v="7"/>
    <n v="0"/>
    <x v="0"/>
    <s v="Proxy (input)"/>
    <n v="0"/>
    <s v="Proxy (input)"/>
    <n v="30"/>
    <n v="0.25423728813559321"/>
    <n v="2655000"/>
    <n v="2655000"/>
    <n v="2655000"/>
    <n v="2655000"/>
    <n v="395595000"/>
    <n v="395595000"/>
    <n v="395595000"/>
    <n v="395595000"/>
    <n v="675000"/>
    <n v="675000"/>
    <n v="675000"/>
    <n v="675000"/>
    <n v="20250000"/>
    <n v="20250000"/>
    <n v="20250000"/>
    <n v="20250000"/>
    <n v="1"/>
    <s v="Proxy split (assumption shares)"/>
    <s v="NA=US+Canada; EU=Europe; JP=Japan; ROW=Rest of World"/>
  </r>
  <r>
    <x v="4"/>
    <x v="1"/>
    <x v="0"/>
    <d v="2001-11-18T00:00:00"/>
    <x v="4"/>
    <n v="7400000"/>
    <n v="370000000"/>
    <s v="Fighting"/>
    <s v="Global"/>
    <s v="HAL Laboratory"/>
    <n v="21740000"/>
    <n v="4326260000"/>
    <s v="Lifetime"/>
    <n v="2001"/>
    <n v="2007"/>
    <n v="199"/>
    <m/>
    <n v="199"/>
    <s v="https://en.wikipedia.org/wiki/GameCube"/>
    <n v="199"/>
    <n v="1"/>
    <x v="0"/>
    <s v=""/>
    <x v="0"/>
    <x v="0"/>
    <n v="6"/>
    <n v="0"/>
    <x v="0"/>
    <s v="Proxy (input)"/>
    <n v="0"/>
    <s v="Proxy (input)"/>
    <n v="50"/>
    <n v="0.34038638454461823"/>
    <n v="5435000"/>
    <n v="5435000"/>
    <n v="5435000"/>
    <n v="5435000"/>
    <n v="1081565000"/>
    <n v="1081565000"/>
    <n v="1081565000"/>
    <n v="1081565000"/>
    <n v="1850000"/>
    <n v="1850000"/>
    <n v="1850000"/>
    <n v="1850000"/>
    <n v="92500000"/>
    <n v="92500000"/>
    <n v="92500000"/>
    <n v="92500000"/>
    <n v="1"/>
    <s v="Proxy split (assumption shares)"/>
    <s v="NA=US+Canada; EU=Europe; JP=Japan; ROW=Rest of World"/>
  </r>
  <r>
    <x v="5"/>
    <x v="0"/>
    <x v="1"/>
    <d v="1989-08-14T00:00:00"/>
    <x v="3"/>
    <n v="15000000"/>
    <n v="900000000"/>
    <s v="Platformer"/>
    <s v="Global"/>
    <s v="Sonic Team"/>
    <n v="30750000"/>
    <n v="5811750000"/>
    <s v="Lifetime (Sega first-party)"/>
    <n v="1989"/>
    <n v="1997"/>
    <n v="189"/>
    <m/>
    <n v="189"/>
    <s v="https://en.wikipedia.org/wiki/Sega_Genesis"/>
    <n v="189"/>
    <n v="1"/>
    <x v="0"/>
    <s v=""/>
    <x v="0"/>
    <x v="0"/>
    <n v="8"/>
    <n v="0"/>
    <x v="0"/>
    <s v="Proxy (input)"/>
    <n v="0"/>
    <s v="Proxy (input)"/>
    <n v="60"/>
    <n v="0.48780487804878048"/>
    <n v="7687500"/>
    <n v="7687500"/>
    <n v="7687500"/>
    <n v="7687500"/>
    <n v="1452937500"/>
    <n v="1452937500"/>
    <n v="1452937500"/>
    <n v="1452937500"/>
    <n v="3750000"/>
    <n v="3750000"/>
    <n v="3750000"/>
    <n v="3750000"/>
    <n v="225000000"/>
    <n v="225000000"/>
    <n v="225000000"/>
    <n v="225000000"/>
    <n v="1"/>
    <s v="Proxy split (assumption shares)"/>
    <s v="NA=US+Canada; EU=Europe; JP=Japan; ROW=Rest of World"/>
  </r>
  <r>
    <x v="6"/>
    <x v="1"/>
    <x v="2"/>
    <d v="1985-10-18T00:00:00"/>
    <x v="5"/>
    <n v="40240000"/>
    <n v="1900000000"/>
    <s v="Platformer"/>
    <s v="Global"/>
    <s v="Nintendo"/>
    <n v="61910000"/>
    <n v="12320090000"/>
    <s v="Lifetime"/>
    <n v="1985"/>
    <n v="1995"/>
    <n v="180"/>
    <m/>
    <n v="180"/>
    <s v="https://en.wikipedia.org/wiki/Nintendo_Entertainment_System"/>
    <n v="199"/>
    <n v="1.1055555555555556"/>
    <x v="0"/>
    <s v=""/>
    <x v="0"/>
    <x v="0"/>
    <n v="10"/>
    <n v="0"/>
    <x v="0"/>
    <s v="Proxy (input)"/>
    <n v="0"/>
    <s v="Proxy (input)"/>
    <n v="47.216699801192846"/>
    <n v="0.64997577128089157"/>
    <n v="15477500"/>
    <n v="15477500"/>
    <n v="15477500"/>
    <n v="15477500"/>
    <n v="3080022500"/>
    <n v="3080022500"/>
    <n v="3080022500"/>
    <n v="3080022500"/>
    <n v="10060000"/>
    <n v="10060000"/>
    <n v="10060000"/>
    <n v="10060000"/>
    <n v="475000000"/>
    <n v="475000000"/>
    <n v="475000000"/>
    <n v="475000000"/>
    <n v="1"/>
    <s v="Proxy split (assumption shares)"/>
    <s v="NA=US+Canada; EU=Europe; JP=Japan; ROW=Rest of World"/>
  </r>
  <r>
    <x v="7"/>
    <x v="1"/>
    <x v="3"/>
    <d v="2011-02-27T00:00:00"/>
    <x v="6"/>
    <n v="18900000"/>
    <n v="945000000"/>
    <s v="Racing"/>
    <s v="Global"/>
    <s v="Nintendo"/>
    <n v="75940000"/>
    <n v="18909060000"/>
    <s v="As of 2022-09-30"/>
    <n v="2011"/>
    <n v="2020"/>
    <n v="249.99"/>
    <m/>
    <n v="249.99"/>
    <s v="https://en.wikipedia.org/wiki/Nintendo_3DS"/>
    <n v="249"/>
    <n v="0.99603984159366366"/>
    <x v="1"/>
    <s v="Day"/>
    <x v="2"/>
    <x v="0"/>
    <n v="9"/>
    <n v="0"/>
    <x v="0"/>
    <s v="Proxy (input)"/>
    <n v="0"/>
    <s v="Proxy (input)"/>
    <n v="50"/>
    <n v="0.24888069528575191"/>
    <n v="18985000"/>
    <n v="18985000"/>
    <n v="18985000"/>
    <n v="18985000"/>
    <n v="4727265000"/>
    <n v="4727265000"/>
    <n v="4727265000"/>
    <n v="4727265000"/>
    <n v="4725000"/>
    <n v="4725000"/>
    <n v="4725000"/>
    <n v="4725000"/>
    <n v="236250000"/>
    <n v="236250000"/>
    <n v="236250000"/>
    <n v="236250000"/>
    <n v="1"/>
    <s v="Proxy split (assumption shares)"/>
    <s v="NA=US+Canada; EU=Europe; JP=Japan; ROW=Rest of World"/>
  </r>
  <r>
    <x v="8"/>
    <x v="1"/>
    <x v="4"/>
    <d v="1996-09-29T00:00:00"/>
    <x v="7"/>
    <n v="11910000"/>
    <n v="715000000"/>
    <s v="Platformer"/>
    <s v="Global"/>
    <s v="Nintendo"/>
    <n v="32930000"/>
    <n v="6553070000"/>
    <s v="Lifetime"/>
    <n v="1996"/>
    <n v="2002"/>
    <n v="199"/>
    <m/>
    <n v="199"/>
    <s v="https://en.wikipedia.org/wiki/Nintendo_64"/>
    <n v="199"/>
    <n v="1"/>
    <x v="0"/>
    <s v=""/>
    <x v="0"/>
    <x v="0"/>
    <n v="6"/>
    <n v="0"/>
    <x v="0"/>
    <s v="Proxy (input)"/>
    <n v="0"/>
    <s v="Proxy (input)"/>
    <n v="60.033585222502097"/>
    <n v="0.36167628302459764"/>
    <n v="8232500"/>
    <n v="8232500"/>
    <n v="8232500"/>
    <n v="8232500"/>
    <n v="1638267500"/>
    <n v="1638267500"/>
    <n v="1638267500"/>
    <n v="1638267500"/>
    <n v="2977500"/>
    <n v="2977500"/>
    <n v="2977500"/>
    <n v="2977500"/>
    <n v="178750000"/>
    <n v="178750000"/>
    <n v="178750000"/>
    <n v="178750000"/>
    <n v="1"/>
    <s v="Proxy split (assumption shares)"/>
    <s v="NA=US+Canada; EU=Europe; JP=Japan; ROW=Rest of World"/>
  </r>
  <r>
    <x v="9"/>
    <x v="1"/>
    <x v="5"/>
    <d v="2004-11-21T00:00:00"/>
    <x v="8"/>
    <n v="23900000"/>
    <n v="956000000"/>
    <s v="Simulation"/>
    <s v="Global"/>
    <s v="Nintendo"/>
    <n v="154020000"/>
    <n v="22948980000"/>
    <s v="Lifetime"/>
    <n v="2004"/>
    <n v="2014"/>
    <n v="149.99"/>
    <m/>
    <n v="149.99"/>
    <s v="https://en.wikipedia.org/wiki/Nintendo_DS"/>
    <n v="149"/>
    <n v="0.99339955997066465"/>
    <x v="0"/>
    <s v=""/>
    <x v="0"/>
    <x v="0"/>
    <n v="10"/>
    <n v="0"/>
    <x v="0"/>
    <s v="Proxy (input)"/>
    <n v="0"/>
    <s v="Proxy (input)"/>
    <n v="40"/>
    <n v="0.15517465264251395"/>
    <n v="38505000"/>
    <n v="38505000"/>
    <n v="38505000"/>
    <n v="38505000"/>
    <n v="5737245000"/>
    <n v="5737245000"/>
    <n v="5737245000"/>
    <n v="5737245000"/>
    <n v="5975000"/>
    <n v="5975000"/>
    <n v="5975000"/>
    <n v="5975000"/>
    <n v="239000000"/>
    <n v="239000000"/>
    <n v="239000000"/>
    <n v="239000000"/>
    <n v="1"/>
    <s v="Proxy split (assumption shares)"/>
    <s v="NA=US+Canada; EU=Europe; JP=Japan; ROW=Rest of World"/>
  </r>
  <r>
    <x v="10"/>
    <x v="2"/>
    <x v="4"/>
    <d v="1995-09-09T00:00:00"/>
    <x v="9"/>
    <n v="10850000"/>
    <n v="542500000"/>
    <s v="Racing"/>
    <s v="Global"/>
    <s v="Polyphony Digital"/>
    <n v="102490000"/>
    <n v="30644510000"/>
    <s v="Lifetime"/>
    <n v="1994"/>
    <n v="2006"/>
    <n v="299"/>
    <m/>
    <n v="299"/>
    <s v="https://en.wikipedia.org/wiki/PlayStation_(console)"/>
    <n v="299"/>
    <n v="1"/>
    <x v="0"/>
    <s v=""/>
    <x v="0"/>
    <x v="0"/>
    <n v="12"/>
    <n v="0"/>
    <x v="0"/>
    <s v="Proxy (input)"/>
    <n v="0"/>
    <s v="Proxy (input)"/>
    <n v="50"/>
    <n v="0.10586398673041272"/>
    <n v="25622500"/>
    <n v="25622500"/>
    <n v="25622500"/>
    <n v="25622500"/>
    <n v="7661127500"/>
    <n v="7661127500"/>
    <n v="7661127500"/>
    <n v="7661127500"/>
    <n v="2712500"/>
    <n v="2712500"/>
    <n v="2712500"/>
    <n v="2712500"/>
    <n v="135625000"/>
    <n v="135625000"/>
    <n v="135625000"/>
    <n v="135625000"/>
    <n v="1"/>
    <s v="Proxy split (assumption shares)"/>
    <s v="NA=US+Canada; EU=Europe; JP=Japan; ROW=Rest of World"/>
  </r>
  <r>
    <x v="11"/>
    <x v="2"/>
    <x v="0"/>
    <d v="2000-10-26T00:00:00"/>
    <x v="10"/>
    <n v="17300000"/>
    <n v="865000000"/>
    <s v="Action-Adventure"/>
    <s v="Global"/>
    <s v="Rockstar Games"/>
    <n v="160000000"/>
    <n v="47840000000"/>
    <s v="Lifetime"/>
    <n v="2000"/>
    <n v="2013"/>
    <n v="299"/>
    <m/>
    <n v="299"/>
    <s v="https://en.wikipedia.org/wiki/PlayStation_2"/>
    <n v="299"/>
    <n v="1"/>
    <x v="0"/>
    <s v=""/>
    <x v="0"/>
    <x v="0"/>
    <n v="13"/>
    <n v="0"/>
    <x v="0"/>
    <s v="Proxy (input)"/>
    <n v="0"/>
    <s v="Proxy (input)"/>
    <n v="50"/>
    <n v="0.108125"/>
    <n v="40000000"/>
    <n v="40000000"/>
    <n v="40000000"/>
    <n v="40000000"/>
    <n v="11960000000"/>
    <n v="11960000000"/>
    <n v="11960000000"/>
    <n v="11960000000"/>
    <n v="4325000"/>
    <n v="4325000"/>
    <n v="4325000"/>
    <n v="4325000"/>
    <n v="216250000"/>
    <n v="216250000"/>
    <n v="216250000"/>
    <n v="216250000"/>
    <n v="1"/>
    <s v="Proxy split (assumption shares)"/>
    <s v="NA=US+Canada; EU=Europe; JP=Japan; ROW=Rest of World"/>
  </r>
  <r>
    <x v="12"/>
    <x v="2"/>
    <x v="5"/>
    <d v="2006-11-17T00:00:00"/>
    <x v="11"/>
    <n v="20000000"/>
    <n v="1200000000"/>
    <s v="Action-Adventure"/>
    <s v="Global"/>
    <s v="Rockstar Games"/>
    <n v="87400000"/>
    <n v="43612600000"/>
    <s v="Lifetime"/>
    <n v="2006"/>
    <n v="2017"/>
    <n v="499.99"/>
    <n v="599.99"/>
    <n v="549.99"/>
    <s v="https://en.wikipedia.org/wiki/PlayStation_3"/>
    <n v="499"/>
    <n v="0.90728922344042617"/>
    <x v="0"/>
    <s v=""/>
    <x v="0"/>
    <x v="0"/>
    <n v="11"/>
    <n v="0"/>
    <x v="0"/>
    <s v="Proxy (input)"/>
    <n v="0"/>
    <s v="Proxy (input)"/>
    <n v="60"/>
    <n v="0.2288329519450801"/>
    <n v="21850000"/>
    <n v="21850000"/>
    <n v="21850000"/>
    <n v="21850000"/>
    <n v="10903150000"/>
    <n v="10903150000"/>
    <n v="10903150000"/>
    <n v="10903150000"/>
    <n v="5000000"/>
    <n v="5000000"/>
    <n v="5000000"/>
    <n v="5000000"/>
    <n v="300000000"/>
    <n v="300000000"/>
    <n v="300000000"/>
    <n v="300000000"/>
    <n v="1"/>
    <s v="Proxy split (assumption shares)"/>
    <s v="NA=US+Canada; EU=Europe; JP=Japan; ROW=Rest of World"/>
  </r>
  <r>
    <x v="13"/>
    <x v="2"/>
    <x v="3"/>
    <d v="2013-11-15T00:00:00"/>
    <x v="12"/>
    <n v="20000000"/>
    <n v="1000000000"/>
    <s v="Sandbox"/>
    <s v="Global"/>
    <s v="Insomniac Games"/>
    <n v="117200000"/>
    <n v="46762800000"/>
    <s v="As of 2022-03-31"/>
    <n v="2013"/>
    <n v="2024"/>
    <n v="399.99"/>
    <m/>
    <n v="399.99"/>
    <s v="https://en.wikipedia.org/wiki/PlayStation_4"/>
    <n v="399"/>
    <n v="0.99752493812345311"/>
    <x v="1"/>
    <s v="Day"/>
    <x v="3"/>
    <x v="0"/>
    <n v="11"/>
    <n v="0"/>
    <x v="0"/>
    <s v="Proxy (input)"/>
    <n v="0"/>
    <s v="Proxy (input)"/>
    <n v="50"/>
    <n v="0.17064846416382254"/>
    <n v="29300000"/>
    <n v="29300000"/>
    <n v="29300000"/>
    <n v="29300000"/>
    <n v="11690700000"/>
    <n v="11690700000"/>
    <n v="11690700000"/>
    <n v="11690700000"/>
    <n v="5000000"/>
    <n v="5000000"/>
    <n v="5000000"/>
    <n v="5000000"/>
    <n v="250000000"/>
    <n v="250000000"/>
    <n v="250000000"/>
    <n v="250000000"/>
    <n v="1"/>
    <s v="Proxy split (assumption shares)"/>
    <s v="NA=US+Canada; EU=Europe; JP=Japan; ROW=Rest of World"/>
  </r>
  <r>
    <x v="14"/>
    <x v="2"/>
    <x v="6"/>
    <d v="2020-11-12T00:00:00"/>
    <x v="13"/>
    <n v="11000000"/>
    <n v="770000000"/>
    <s v="Sandbox"/>
    <s v="Global"/>
    <s v="Insomniac Games"/>
    <n v="84200000"/>
    <n v="42015800000"/>
    <s v="As of 2025-11-12"/>
    <n v="2020"/>
    <m/>
    <n v="399"/>
    <n v="499"/>
    <n v="449"/>
    <s v="https://en.wikipedia.org/wiki/PlayStation_5"/>
    <n v="499"/>
    <n v="1.111358574610245"/>
    <x v="1"/>
    <s v="Day"/>
    <x v="4"/>
    <x v="1"/>
    <s v=""/>
    <n v="0"/>
    <x v="0"/>
    <s v="Proxy (input)"/>
    <n v="0"/>
    <s v="Proxy (input)"/>
    <n v="70"/>
    <n v="0.13064133016627077"/>
    <n v="21050000"/>
    <n v="21050000"/>
    <n v="21050000"/>
    <n v="21050000"/>
    <n v="10503950000"/>
    <n v="10503950000"/>
    <n v="10503950000"/>
    <n v="10503950000"/>
    <n v="2750000"/>
    <n v="2750000"/>
    <n v="2750000"/>
    <n v="2750000"/>
    <n v="192500000"/>
    <n v="192500000"/>
    <n v="192500000"/>
    <n v="192500000"/>
    <n v="1"/>
    <s v="Proxy split (assumption shares)"/>
    <s v="NA=US+Canada; EU=Europe; JP=Japan; ROW=Rest of World"/>
  </r>
  <r>
    <x v="15"/>
    <x v="2"/>
    <x v="5"/>
    <d v="2005-03-24T00:00:00"/>
    <x v="14"/>
    <n v="8000000"/>
    <n v="320000000"/>
    <s v="Action-Adventure"/>
    <s v="Global"/>
    <s v="Rockstar Games"/>
    <n v="82520000"/>
    <n v="20547480000"/>
    <s v="Lifetime"/>
    <n v="2004"/>
    <n v="2014"/>
    <n v="249.99"/>
    <m/>
    <n v="249.99"/>
    <s v="https://en.wikipedia.org/wiki/PlayStation_Portable"/>
    <n v="249"/>
    <n v="0.99603984159366366"/>
    <x v="0"/>
    <s v=""/>
    <x v="0"/>
    <x v="0"/>
    <n v="10"/>
    <n v="0"/>
    <x v="0"/>
    <s v="Proxy (input)"/>
    <n v="0"/>
    <s v="Proxy (input)"/>
    <n v="40"/>
    <n v="9.6946194861851673E-2"/>
    <n v="20630000"/>
    <n v="20630000"/>
    <n v="20630000"/>
    <n v="20630000"/>
    <n v="5136870000"/>
    <n v="5136870000"/>
    <n v="5136870000"/>
    <n v="5136870000"/>
    <n v="2000000"/>
    <n v="2000000"/>
    <n v="2000000"/>
    <n v="2000000"/>
    <n v="80000000"/>
    <n v="80000000"/>
    <n v="80000000"/>
    <n v="80000000"/>
    <n v="1"/>
    <s v="Proxy split (assumption shares)"/>
    <s v="NA=US+Canada; EU=Europe; JP=Japan; ROW=Rest of World"/>
  </r>
  <r>
    <x v="16"/>
    <x v="2"/>
    <x v="3"/>
    <d v="2012-02-22T00:00:00"/>
    <x v="15"/>
    <n v="1300000"/>
    <n v="65000000"/>
    <s v="Adventure"/>
    <s v="Global"/>
    <s v="Bend Studio"/>
    <n v="16000000"/>
    <n v="3984000000"/>
    <s v="Estimate (~16m); no official total"/>
    <n v="2011"/>
    <n v="2019"/>
    <n v="249.99"/>
    <m/>
    <n v="249.99"/>
    <s v="https://en.wikipedia.org/wiki/PlayStation_Vita"/>
    <n v="249"/>
    <n v="0.99603984159366366"/>
    <x v="2"/>
    <s v=""/>
    <x v="0"/>
    <x v="0"/>
    <n v="8"/>
    <n v="0"/>
    <x v="1"/>
    <s v="Proxy (estimated)"/>
    <n v="0"/>
    <s v="Proxy (input)"/>
    <n v="50"/>
    <n v="8.1250000000000003E-2"/>
    <n v="4000000"/>
    <n v="4000000"/>
    <n v="4000000"/>
    <n v="4000000"/>
    <n v="996000000"/>
    <n v="996000000"/>
    <n v="996000000"/>
    <n v="996000000"/>
    <n v="325000"/>
    <n v="325000"/>
    <n v="325000"/>
    <n v="325000"/>
    <n v="16250000"/>
    <n v="16250000"/>
    <n v="16250000"/>
    <n v="16250000"/>
    <n v="1"/>
    <s v="Proxy split (assumption shares)"/>
    <s v="NA=US+Canada; EU=Europe; JP=Japan; ROW=Rest of World"/>
  </r>
  <r>
    <x v="17"/>
    <x v="0"/>
    <x v="4"/>
    <d v="1995-05-11T00:00:00"/>
    <x v="16"/>
    <n v="1700000"/>
    <n v="85000000"/>
    <s v="Fighting"/>
    <s v="Global"/>
    <s v="Sega"/>
    <n v="9260000"/>
    <n v="3694740000"/>
    <s v="Lifetime"/>
    <n v="1994"/>
    <n v="2000"/>
    <n v="399.99"/>
    <m/>
    <n v="399.99"/>
    <s v="https://en.wikipedia.org/wiki/Sega_Saturn"/>
    <n v="399"/>
    <n v="0.99752493812345311"/>
    <x v="0"/>
    <s v=""/>
    <x v="0"/>
    <x v="0"/>
    <n v="6"/>
    <n v="0"/>
    <x v="0"/>
    <s v="Proxy (input)"/>
    <n v="0"/>
    <s v="Proxy (input)"/>
    <n v="50"/>
    <n v="0.183585313174946"/>
    <n v="2315000"/>
    <n v="2315000"/>
    <n v="2315000"/>
    <n v="2315000"/>
    <n v="923685000"/>
    <n v="923685000"/>
    <n v="923685000"/>
    <n v="923685000"/>
    <n v="425000"/>
    <n v="425000"/>
    <n v="425000"/>
    <n v="425000"/>
    <n v="21250000"/>
    <n v="21250000"/>
    <n v="21250000"/>
    <n v="21250000"/>
    <n v="1"/>
    <s v="Proxy split (assumption shares)"/>
    <s v="NA=US+Canada; EU=Europe; JP=Japan; ROW=Rest of World"/>
  </r>
  <r>
    <x v="18"/>
    <x v="1"/>
    <x v="1"/>
    <d v="1991-08-23T00:00:00"/>
    <x v="17"/>
    <n v="20600000"/>
    <n v="1236000000"/>
    <s v="Platformer"/>
    <s v="Global"/>
    <s v="Nintendo"/>
    <n v="49100000"/>
    <n v="9770900000"/>
    <s v="Lifetime"/>
    <n v="1991"/>
    <n v="2003"/>
    <n v="199"/>
    <m/>
    <n v="199"/>
    <s v="https://en.wikipedia.org/wiki/Super_Nintendo_Entertainment_System"/>
    <n v="199"/>
    <n v="1"/>
    <x v="0"/>
    <s v=""/>
    <x v="0"/>
    <x v="0"/>
    <n v="12"/>
    <n v="0"/>
    <x v="0"/>
    <s v="Proxy (input)"/>
    <n v="0"/>
    <s v="Proxy (input)"/>
    <n v="60"/>
    <n v="0.41955193482688391"/>
    <n v="12275000"/>
    <n v="12275000"/>
    <n v="12275000"/>
    <n v="12275000"/>
    <n v="2442725000"/>
    <n v="2442725000"/>
    <n v="2442725000"/>
    <n v="2442725000"/>
    <n v="5150000"/>
    <n v="5150000"/>
    <n v="5150000"/>
    <n v="5150000"/>
    <n v="309000000"/>
    <n v="309000000"/>
    <n v="309000000"/>
    <n v="309000000"/>
    <n v="1"/>
    <s v="Proxy split (assumption shares)"/>
    <s v="NA=US+Canada; EU=Europe; JP=Japan; ROW=Rest of World"/>
  </r>
  <r>
    <x v="19"/>
    <x v="1"/>
    <x v="3"/>
    <d v="2017-03-03T00:00:00"/>
    <x v="18"/>
    <n v="60000000"/>
    <n v="3600000000"/>
    <s v="Racing"/>
    <s v="Global"/>
    <s v="Nintendo"/>
    <n v="154010000"/>
    <n v="46048990000"/>
    <s v="As of 2025 (shipped)"/>
    <n v="2017"/>
    <m/>
    <n v="299.99"/>
    <m/>
    <n v="299.99"/>
    <s v="https://en.wikipedia.org/wiki/Nintendo_Switch"/>
    <n v="299"/>
    <n v="0.99669988999633319"/>
    <x v="1"/>
    <s v="Year"/>
    <x v="5"/>
    <x v="1"/>
    <s v=""/>
    <n v="0"/>
    <x v="0"/>
    <s v="Proxy (input)"/>
    <n v="0"/>
    <s v="Proxy (input)"/>
    <n v="60"/>
    <n v="0.38958509187715085"/>
    <n v="38502500"/>
    <n v="38502500"/>
    <n v="38502500"/>
    <n v="38502500"/>
    <n v="11512247500"/>
    <n v="11512247500"/>
    <n v="11512247500"/>
    <n v="11512247500"/>
    <n v="15000000"/>
    <n v="15000000"/>
    <n v="15000000"/>
    <n v="15000000"/>
    <n v="900000000"/>
    <n v="900000000"/>
    <n v="900000000"/>
    <n v="900000000"/>
    <n v="1"/>
    <s v="Proxy split (assumption shares)"/>
    <s v="NA=US+Canada; EU=Europe; JP=Japan; ROW=Rest of World"/>
  </r>
  <r>
    <x v="20"/>
    <x v="1"/>
    <x v="5"/>
    <d v="2006-11-19T00:00:00"/>
    <x v="19"/>
    <n v="82900000"/>
    <n v="3300000000"/>
    <s v="Sports"/>
    <s v="Global"/>
    <s v="Nintendo"/>
    <n v="101630000"/>
    <n v="25305870000"/>
    <s v="Lifetime"/>
    <n v="2006"/>
    <n v="2014"/>
    <n v="249.99"/>
    <m/>
    <n v="249.99"/>
    <s v="https://en.wikipedia.org/wiki/Wii"/>
    <n v="249"/>
    <n v="0.99603984159366366"/>
    <x v="0"/>
    <s v=""/>
    <x v="0"/>
    <x v="0"/>
    <n v="8"/>
    <n v="0"/>
    <x v="0"/>
    <s v="Proxy (input)"/>
    <n v="0"/>
    <s v="Proxy (input)"/>
    <n v="39.806996381182145"/>
    <n v="0.81570402440224343"/>
    <n v="25407500"/>
    <n v="25407500"/>
    <n v="25407500"/>
    <n v="25407500"/>
    <n v="6326467500"/>
    <n v="6326467500"/>
    <n v="6326467500"/>
    <n v="6326467500"/>
    <n v="20725000"/>
    <n v="20725000"/>
    <n v="20725000"/>
    <n v="20725000"/>
    <n v="825000000"/>
    <n v="825000000"/>
    <n v="825000000"/>
    <n v="825000000"/>
    <n v="1"/>
    <s v="Proxy split (assumption shares)"/>
    <s v="NA=US+Canada; EU=Europe; JP=Japan; ROW=Rest of World"/>
  </r>
  <r>
    <x v="21"/>
    <x v="1"/>
    <x v="3"/>
    <d v="2012-11-18T00:00:00"/>
    <x v="20"/>
    <n v="8460000"/>
    <n v="423000000"/>
    <s v="Racing"/>
    <s v="Global"/>
    <s v="Nintendo"/>
    <n v="13560000"/>
    <n v="4054440000"/>
    <s v="Lifetime"/>
    <n v="2012"/>
    <n v="2017"/>
    <n v="299"/>
    <n v="349"/>
    <n v="324"/>
    <s v="https://en.wikipedia.org/wiki/Wii_U"/>
    <n v="299"/>
    <n v="0.9228395061728395"/>
    <x v="0"/>
    <s v=""/>
    <x v="0"/>
    <x v="0"/>
    <n v="5"/>
    <n v="0"/>
    <x v="0"/>
    <s v="Proxy (input)"/>
    <n v="0"/>
    <s v="Proxy (input)"/>
    <n v="50"/>
    <n v="0.62389380530973448"/>
    <n v="3390000"/>
    <n v="3390000"/>
    <n v="3390000"/>
    <n v="3390000"/>
    <n v="1013610000"/>
    <n v="1013610000"/>
    <n v="1013610000"/>
    <n v="1013610000"/>
    <n v="2115000"/>
    <n v="2115000"/>
    <n v="2115000"/>
    <n v="2115000"/>
    <n v="105750000"/>
    <n v="105750000"/>
    <n v="105750000"/>
    <n v="105750000"/>
    <n v="1"/>
    <s v="Proxy split (assumption shares)"/>
    <s v="NA=US+Canada; EU=Europe; JP=Japan; ROW=Rest of World"/>
  </r>
  <r>
    <x v="22"/>
    <x v="3"/>
    <x v="0"/>
    <d v="2001-11-15T00:00:00"/>
    <x v="21"/>
    <n v="5000000"/>
    <n v="250000000"/>
    <s v="Shooter"/>
    <s v="Global"/>
    <s v="Bungie"/>
    <n v="24000000"/>
    <n v="7176000000"/>
    <s v="Lifetime"/>
    <n v="2001"/>
    <n v="2005"/>
    <n v="299"/>
    <m/>
    <n v="299"/>
    <s v="https://en.wikipedia.org/wiki/Xbox_(console)"/>
    <n v="299"/>
    <n v="1"/>
    <x v="0"/>
    <s v=""/>
    <x v="0"/>
    <x v="0"/>
    <n v="4"/>
    <n v="0"/>
    <x v="0"/>
    <s v="Proxy (input)"/>
    <n v="0"/>
    <s v="Proxy (input)"/>
    <n v="50"/>
    <n v="0.20833333333333334"/>
    <n v="6000000"/>
    <n v="6000000"/>
    <n v="6000000"/>
    <n v="6000000"/>
    <n v="1794000000"/>
    <n v="1794000000"/>
    <n v="1794000000"/>
    <n v="1794000000"/>
    <n v="1250000"/>
    <n v="1250000"/>
    <n v="1250000"/>
    <n v="1250000"/>
    <n v="62500000"/>
    <n v="62500000"/>
    <n v="62500000"/>
    <n v="62500000"/>
    <n v="1"/>
    <s v="Proxy split (assumption shares)"/>
    <s v="NA=US+Canada; EU=Europe; JP=Japan; ROW=Rest of World"/>
  </r>
  <r>
    <x v="23"/>
    <x v="3"/>
    <x v="5"/>
    <d v="2010-11-04T00:00:00"/>
    <x v="22"/>
    <n v="24000000"/>
    <n v="960000000"/>
    <s v="Adventure"/>
    <s v="Global"/>
    <s v="Good Science Studio"/>
    <n v="84000000"/>
    <n v="25116000000"/>
    <s v="As of 2014-06-09 (official)"/>
    <n v="2005"/>
    <n v="2016"/>
    <n v="299"/>
    <n v="399"/>
    <n v="349"/>
    <s v="https://en.wikipedia.org/wiki/Xbox_360"/>
    <n v="299"/>
    <n v="0.85673352435530081"/>
    <x v="1"/>
    <s v="Day"/>
    <x v="6"/>
    <x v="0"/>
    <n v="11"/>
    <n v="0"/>
    <x v="0"/>
    <s v="Proxy (input)"/>
    <n v="0"/>
    <s v="Proxy (input)"/>
    <n v="40"/>
    <n v="0.2857142857142857"/>
    <n v="21000000"/>
    <n v="21000000"/>
    <n v="21000000"/>
    <n v="21000000"/>
    <n v="6279000000"/>
    <n v="6279000000"/>
    <n v="6279000000"/>
    <n v="6279000000"/>
    <n v="6000000"/>
    <n v="6000000"/>
    <n v="6000000"/>
    <n v="6000000"/>
    <n v="240000000"/>
    <n v="240000000"/>
    <n v="240000000"/>
    <n v="240000000"/>
    <n v="1"/>
    <s v="Proxy split (assumption shares)"/>
    <s v="NA=US+Canada; EU=Europe; JP=Japan; ROW=Rest of World"/>
  </r>
  <r>
    <x v="24"/>
    <x v="3"/>
    <x v="3"/>
    <d v="2013-11-22T00:00:00"/>
    <x v="23"/>
    <n v="9000000"/>
    <n v="270000000"/>
    <s v="Battle Royale"/>
    <s v="Global"/>
    <s v="PUBG Corporation"/>
    <n v="58000000"/>
    <n v="28942000000"/>
    <s v="As of 2023-06 (estimate)"/>
    <n v="2013"/>
    <n v="2020"/>
    <n v="499"/>
    <m/>
    <n v="499"/>
    <s v="https://en.wikipedia.org/wiki/Xbox_One"/>
    <n v="499"/>
    <n v="1"/>
    <x v="1"/>
    <s v="Month"/>
    <x v="7"/>
    <x v="0"/>
    <n v="7"/>
    <n v="0"/>
    <x v="0"/>
    <s v="Proxy (input)"/>
    <n v="0"/>
    <s v="Proxy (input)"/>
    <n v="30"/>
    <n v="0.15517241379310345"/>
    <n v="14500000"/>
    <n v="14500000"/>
    <n v="14500000"/>
    <n v="14500000"/>
    <n v="7235500000"/>
    <n v="7235500000"/>
    <n v="7235500000"/>
    <n v="7235500000"/>
    <n v="2250000"/>
    <n v="2250000"/>
    <n v="2250000"/>
    <n v="2250000"/>
    <n v="67500000"/>
    <n v="67500000"/>
    <n v="67500000"/>
    <n v="67500000"/>
    <n v="1"/>
    <s v="Proxy split (assumption shares)"/>
    <s v="NA=US+Canada; EU=Europe; JP=Japan; ROW=Rest of World"/>
  </r>
  <r>
    <x v="25"/>
    <x v="3"/>
    <x v="6"/>
    <d v="2020-11-10T00:00:00"/>
    <x v="24"/>
    <n v="6500000"/>
    <n v="455000000"/>
    <s v="Shooter"/>
    <s v="Global"/>
    <s v="Infinity Ward"/>
    <n v="28300000"/>
    <n v="11291700000"/>
    <s v="As of 2024-06 (estimate)"/>
    <n v="2020"/>
    <m/>
    <n v="299"/>
    <n v="499"/>
    <n v="399"/>
    <s v="https://en.wikipedia.org/wiki/Xbox_Series_X_and_Series_S"/>
    <n v="399"/>
    <n v="1"/>
    <x v="1"/>
    <s v="Month"/>
    <x v="8"/>
    <x v="1"/>
    <s v=""/>
    <n v="0"/>
    <x v="0"/>
    <s v="Proxy (input)"/>
    <n v="0"/>
    <s v="Proxy (input)"/>
    <n v="70"/>
    <n v="0.22968197879858657"/>
    <n v="7075000"/>
    <n v="7075000"/>
    <n v="7075000"/>
    <n v="7075000"/>
    <n v="2822925000"/>
    <n v="2822925000"/>
    <n v="2822925000"/>
    <n v="2822925000"/>
    <n v="1625000"/>
    <n v="1625000"/>
    <n v="1625000"/>
    <n v="1625000"/>
    <n v="113750000"/>
    <n v="113750000"/>
    <n v="113750000"/>
    <n v="113750000"/>
    <n v="1"/>
    <s v="Proxy split (assumption shares)"/>
    <s v="NA=US+Canada; EU=Europe; JP=Japan; ROW=Rest of World"/>
  </r>
  <r>
    <x v="26"/>
    <x v="1"/>
    <x v="6"/>
    <d v="2025-06-05T00:00:00"/>
    <x v="25"/>
    <n v="9570000"/>
    <n v="765504300"/>
    <s v="Racing"/>
    <s v="Global"/>
    <s v="Nintendo"/>
    <n v="10360000"/>
    <n v="4657519295.6410093"/>
    <s v="As of 2025-09-30 (Nintendo IR)"/>
    <n v="2025"/>
    <m/>
    <n v="449.99"/>
    <n v="449.99"/>
    <n v="449.99"/>
    <s v="https://www.nintendo.com/us/gaming-systems/switch-2/"/>
    <n v="449.56749957924802"/>
    <n v="0.99906108931142468"/>
    <x v="1"/>
    <s v="Day"/>
    <x v="9"/>
    <x v="1"/>
    <s v=""/>
    <n v="0"/>
    <x v="1"/>
    <s v="Proxy (estimated)"/>
    <n v="1"/>
    <s v="Proxy (estimated)"/>
    <n v="79.989999999999995"/>
    <n v="0.92374517374517373"/>
    <n v="2590000"/>
    <n v="2590000"/>
    <n v="2590000"/>
    <n v="2590000"/>
    <n v="1164379823.9102523"/>
    <n v="1164379823.9102523"/>
    <n v="1164379823.9102523"/>
    <n v="1164379823.9102523"/>
    <n v="2392500"/>
    <n v="2392500"/>
    <n v="2392500"/>
    <n v="2392500"/>
    <n v="191376075"/>
    <n v="191376075"/>
    <n v="191376075"/>
    <n v="191376075"/>
    <n v="1"/>
    <s v="Proxy split (assumption shares)"/>
    <s v="NA=US+Canada; EU=Europe; JP=Japan; ROW=Rest of World"/>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21EEFD2-4977-47E3-8CBB-DDAA45CD9EB4}" name="Top Console by Units"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4:B22" firstHeaderRow="1" firstDataRow="1" firstDataCol="1"/>
  <pivotFields count="52">
    <pivotField axis="axisRow" showAll="0" sortType="descending">
      <items count="29">
        <item x="0"/>
        <item x="1"/>
        <item x="2"/>
        <item x="3"/>
        <item x="4"/>
        <item x="5"/>
        <item x="6"/>
        <item x="7"/>
        <item x="8"/>
        <item x="9"/>
        <item x="26"/>
        <item x="10"/>
        <item x="11"/>
        <item x="12"/>
        <item x="13"/>
        <item x="14"/>
        <item x="15"/>
        <item x="16"/>
        <item x="17"/>
        <item x="18"/>
        <item m="1" x="27"/>
        <item x="20"/>
        <item x="21"/>
        <item x="22"/>
        <item x="23"/>
        <item x="24"/>
        <item x="25"/>
        <item x="19"/>
        <item t="default"/>
      </items>
      <autoSortScope>
        <pivotArea dataOnly="0" outline="0" fieldPosition="0">
          <references count="1">
            <reference field="4294967294" count="1" selected="0">
              <x v="0"/>
            </reference>
          </references>
        </pivotArea>
      </autoSortScope>
    </pivotField>
    <pivotField showAll="0">
      <items count="5">
        <item x="3"/>
        <item x="1"/>
        <item x="0"/>
        <item x="2"/>
        <item t="default"/>
      </items>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dataField="1" numFmtId="3" showAll="0"/>
    <pivotField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Fields count="1">
    <field x="0"/>
  </rowFields>
  <rowItems count="18">
    <i>
      <x v="12"/>
    </i>
    <i>
      <x v="9"/>
    </i>
    <i>
      <x v="1"/>
    </i>
    <i>
      <x v="11"/>
    </i>
    <i>
      <x v="21"/>
    </i>
    <i>
      <x v="13"/>
    </i>
    <i>
      <x v="16"/>
    </i>
    <i>
      <x v="2"/>
    </i>
    <i>
      <x v="6"/>
    </i>
    <i>
      <x v="19"/>
    </i>
    <i>
      <x v="8"/>
    </i>
    <i>
      <x v="5"/>
    </i>
    <i>
      <x v="23"/>
    </i>
    <i>
      <x v="4"/>
    </i>
    <i>
      <x v="22"/>
    </i>
    <i>
      <x v="18"/>
    </i>
    <i>
      <x/>
    </i>
    <i t="grand">
      <x/>
    </i>
  </rowItems>
  <colItems count="1">
    <i/>
  </colItems>
  <dataFields count="1">
    <dataField name="Sum of HardwareUnitsSold (Global)" fld="10" baseField="0" baseItem="0" numFmtId="3"/>
  </dataFields>
  <formats count="1">
    <format dxfId="106">
      <pivotArea collapsedLevelsAreSubtotals="1" fieldPosition="0">
        <references count="1">
          <reference field="0" count="1">
            <x v="8"/>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54140D6-CD8B-49E0-ACFA-4BC617244810}" name="Top Console by Revenue"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D4:E22" firstHeaderRow="1" firstDataRow="1" firstDataCol="1"/>
  <pivotFields count="52">
    <pivotField axis="axisRow" showAll="0" sortType="descending">
      <items count="29">
        <item x="0"/>
        <item x="1"/>
        <item x="2"/>
        <item x="3"/>
        <item x="4"/>
        <item x="5"/>
        <item x="6"/>
        <item x="7"/>
        <item x="8"/>
        <item x="9"/>
        <item x="26"/>
        <item x="10"/>
        <item x="11"/>
        <item x="12"/>
        <item x="13"/>
        <item x="14"/>
        <item x="15"/>
        <item x="16"/>
        <item x="17"/>
        <item x="18"/>
        <item m="1" x="27"/>
        <item x="20"/>
        <item x="21"/>
        <item x="22"/>
        <item x="23"/>
        <item x="24"/>
        <item x="25"/>
        <item x="19"/>
        <item t="default"/>
      </items>
      <autoSortScope>
        <pivotArea dataOnly="0" outline="0" fieldPosition="0">
          <references count="1">
            <reference field="4294967294" count="1" selected="0">
              <x v="0"/>
            </reference>
          </references>
        </pivotArea>
      </autoSortScope>
    </pivotField>
    <pivotField showAll="0">
      <items count="5">
        <item x="3"/>
        <item x="1"/>
        <item x="0"/>
        <item x="2"/>
        <item t="default"/>
      </items>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numFmtId="3" showAll="0"/>
    <pivotField dataField="1"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Fields count="1">
    <field x="0"/>
  </rowFields>
  <rowItems count="18">
    <i>
      <x v="12"/>
    </i>
    <i>
      <x v="13"/>
    </i>
    <i>
      <x v="11"/>
    </i>
    <i>
      <x v="21"/>
    </i>
    <i>
      <x v="9"/>
    </i>
    <i>
      <x v="16"/>
    </i>
    <i>
      <x v="6"/>
    </i>
    <i>
      <x v="1"/>
    </i>
    <i>
      <x v="19"/>
    </i>
    <i>
      <x v="2"/>
    </i>
    <i>
      <x v="23"/>
    </i>
    <i>
      <x v="8"/>
    </i>
    <i>
      <x v="5"/>
    </i>
    <i>
      <x v="4"/>
    </i>
    <i>
      <x v="22"/>
    </i>
    <i>
      <x v="18"/>
    </i>
    <i>
      <x/>
    </i>
    <i t="grand">
      <x/>
    </i>
  </rowItems>
  <colItems count="1">
    <i/>
  </colItems>
  <dataFields count="1">
    <dataField name="Sum of Estimated Hardware Revenue (proxy) (Global USD)" fld="11" baseField="0" baseItem="0" numFmtId="167"/>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164C22F-3D97-44FA-8000-287F39341990}" name="Revenue Share by Manufacturer"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I45:J50" firstHeaderRow="1" firstDataRow="1" firstDataCol="1"/>
  <pivotFields count="52">
    <pivotField showAll="0"/>
    <pivotField axis="axisRow" showAll="0" sortType="descending">
      <items count="5">
        <item x="3"/>
        <item x="1"/>
        <item x="0"/>
        <item x="2"/>
        <item t="default"/>
      </items>
      <autoSortScope>
        <pivotArea dataOnly="0" outline="0" fieldPosition="0">
          <references count="1">
            <reference field="4294967294" count="1" selected="0">
              <x v="0"/>
            </reference>
          </references>
        </pivotArea>
      </autoSortScope>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numFmtId="3" showAll="0"/>
    <pivotField dataField="1"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Fields count="1">
    <field x="1"/>
  </rowFields>
  <rowItems count="5">
    <i>
      <x v="3"/>
    </i>
    <i>
      <x v="1"/>
    </i>
    <i>
      <x v="2"/>
    </i>
    <i>
      <x/>
    </i>
    <i t="grand">
      <x/>
    </i>
  </rowItems>
  <colItems count="1">
    <i/>
  </colItems>
  <dataFields count="1">
    <dataField name="Sum of Estimated Hardware Revenue (proxy) (Global USD)" fld="11" baseField="0" baseItem="0" numFmtId="167"/>
  </dataFields>
  <chartFormats count="5">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1" count="1" selected="0">
            <x v="0"/>
          </reference>
        </references>
      </pivotArea>
    </chartFormat>
    <chartFormat chart="2" format="8">
      <pivotArea type="data" outline="0" fieldPosition="0">
        <references count="2">
          <reference field="4294967294" count="1" selected="0">
            <x v="0"/>
          </reference>
          <reference field="1" count="1" selected="0">
            <x v="1"/>
          </reference>
        </references>
      </pivotArea>
    </chartFormat>
    <chartFormat chart="2" format="9">
      <pivotArea type="data" outline="0" fieldPosition="0">
        <references count="2">
          <reference field="4294967294" count="1" selected="0">
            <x v="0"/>
          </reference>
          <reference field="1" count="1" selected="0">
            <x v="2"/>
          </reference>
        </references>
      </pivotArea>
    </chartFormat>
    <chartFormat chart="2" format="10">
      <pivotArea type="data" outline="0" fieldPosition="0">
        <references count="2">
          <reference field="4294967294" count="1" selected="0">
            <x v="0"/>
          </reference>
          <reference field="1"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F07A69D-4F66-40DF-8436-31FF42046691}" name="Total Hardware Units Sold (Global)"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A2" firstHeaderRow="1" firstDataRow="1" firstDataCol="0"/>
  <pivotFields count="52">
    <pivotField showAll="0"/>
    <pivotField showAll="0">
      <items count="5">
        <item x="3"/>
        <item x="1"/>
        <item x="0"/>
        <item x="2"/>
        <item t="default"/>
      </items>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dataField="1" numFmtId="3" showAll="0"/>
    <pivotField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Items count="1">
    <i/>
  </rowItems>
  <colItems count="1">
    <i/>
  </colItems>
  <dataFields count="1">
    <dataField name="Sum of HardwareUnitsSold (Global)" fld="10" baseField="0" baseItem="0" numFmtId="177"/>
  </dataFields>
  <formats count="1">
    <format dxfId="10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69FC4E-CBED-4457-8E4F-675CA113FBDB}" name="Best-Seller Impact"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68:B79" firstHeaderRow="1" firstDataRow="1" firstDataCol="1"/>
  <pivotFields count="52">
    <pivotField axis="axisRow" showAll="0" measureFilter="1" sortType="ascending">
      <items count="29">
        <item x="0"/>
        <item x="1"/>
        <item x="2"/>
        <item x="3"/>
        <item x="4"/>
        <item x="5"/>
        <item x="6"/>
        <item x="7"/>
        <item x="8"/>
        <item x="9"/>
        <item x="26"/>
        <item x="10"/>
        <item x="11"/>
        <item x="12"/>
        <item x="13"/>
        <item x="14"/>
        <item x="15"/>
        <item x="16"/>
        <item x="17"/>
        <item x="18"/>
        <item m="1" x="27"/>
        <item x="20"/>
        <item x="21"/>
        <item x="22"/>
        <item x="23"/>
        <item x="24"/>
        <item x="25"/>
        <item x="19"/>
        <item t="default"/>
      </items>
      <autoSortScope>
        <pivotArea dataOnly="0" outline="0" fieldPosition="0">
          <references count="1">
            <reference field="4294967294" count="1" selected="0">
              <x v="0"/>
            </reference>
          </references>
        </pivotArea>
      </autoSortScope>
    </pivotField>
    <pivotField showAll="0">
      <items count="5">
        <item x="3"/>
        <item x="1"/>
        <item x="0"/>
        <item x="2"/>
        <item t="default"/>
      </items>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numFmtId="3" showAll="0"/>
    <pivotField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dataField="1"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Fields count="1">
    <field x="0"/>
  </rowFields>
  <rowItems count="11">
    <i>
      <x v="13"/>
    </i>
    <i>
      <x/>
    </i>
    <i>
      <x v="1"/>
    </i>
    <i>
      <x v="4"/>
    </i>
    <i>
      <x v="8"/>
    </i>
    <i>
      <x v="19"/>
    </i>
    <i>
      <x v="5"/>
    </i>
    <i>
      <x v="22"/>
    </i>
    <i>
      <x v="6"/>
    </i>
    <i>
      <x v="21"/>
    </i>
    <i t="grand">
      <x/>
    </i>
  </rowItems>
  <colItems count="1">
    <i/>
  </colItems>
  <dataFields count="1">
    <dataField name="Sum of BestSellerAttachRate" fld="32" baseField="0" baseItem="0" numFmtId="17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A30E942-C367-4906-8E3E-BC0D2C37C359}" name="Average Hardware Price"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1:E2" firstHeaderRow="1" firstDataRow="1" firstDataCol="0"/>
  <pivotFields count="52">
    <pivotField showAll="0"/>
    <pivotField showAll="0">
      <items count="5">
        <item x="3"/>
        <item x="1"/>
        <item x="0"/>
        <item x="2"/>
        <item t="default"/>
      </items>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numFmtId="3" showAll="0"/>
    <pivotField numFmtId="167" showAll="0"/>
    <pivotField showAll="0"/>
    <pivotField numFmtId="1" showAll="0"/>
    <pivotField showAll="0"/>
    <pivotField numFmtId="168" showAll="0"/>
    <pivotField showAll="0"/>
    <pivotField showAll="0"/>
    <pivotField showAll="0"/>
    <pivotField dataField="1"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Items count="1">
    <i/>
  </rowItems>
  <colItems count="1">
    <i/>
  </colItems>
  <dataFields count="1">
    <dataField name="Average of HardwareASP_USD" fld="19" subtotal="average" baseField="0" baseItem="0" numFmtId="174"/>
  </dataFields>
  <formats count="1">
    <format dxfId="10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523B8BF-5986-4138-85FA-A08F099CBDAD}" name="Generation Performance"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I53:K60" firstHeaderRow="0" firstDataRow="1" firstDataCol="1"/>
  <pivotFields count="52">
    <pivotField showAll="0"/>
    <pivotField showAll="0">
      <items count="5">
        <item x="3"/>
        <item x="1"/>
        <item x="0"/>
        <item x="2"/>
        <item t="default"/>
      </items>
    </pivotField>
    <pivotField axis="axisRow"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dataField="1" numFmtId="3" showAll="0"/>
    <pivotField dataField="1"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Fields count="1">
    <field x="2"/>
  </rowFields>
  <rowItems count="7">
    <i>
      <x/>
    </i>
    <i>
      <x v="1"/>
    </i>
    <i>
      <x v="2"/>
    </i>
    <i>
      <x v="3"/>
    </i>
    <i>
      <x v="4"/>
    </i>
    <i>
      <x v="5"/>
    </i>
    <i t="grand">
      <x/>
    </i>
  </rowItems>
  <colFields count="1">
    <field x="-2"/>
  </colFields>
  <colItems count="2">
    <i>
      <x/>
    </i>
    <i i="1">
      <x v="1"/>
    </i>
  </colItems>
  <dataFields count="2">
    <dataField name="Estimated Hardware Revenue" fld="11" baseField="2" baseItem="0" numFmtId="167"/>
    <dataField name="Hardware Units Sold" fld="10" baseField="2" baseItem="0" numFmtId="3"/>
  </dataFields>
  <chartFormats count="2">
    <chartFormat chart="16" format="4" series="1">
      <pivotArea type="data" outline="0" fieldPosition="0">
        <references count="1">
          <reference field="4294967294" count="1" selected="0">
            <x v="0"/>
          </reference>
        </references>
      </pivotArea>
    </chartFormat>
    <chartFormat chart="1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D51AFB3-BF25-4C6D-AAA6-BFAC0A279B08}" name="Estimated Hardware Revenue"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C1:C2" firstHeaderRow="1" firstDataRow="1" firstDataCol="0"/>
  <pivotFields count="52">
    <pivotField showAll="0"/>
    <pivotField showAll="0">
      <items count="5">
        <item x="3"/>
        <item x="1"/>
        <item x="0"/>
        <item x="2"/>
        <item t="default"/>
      </items>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numFmtId="3" showAll="0"/>
    <pivotField dataField="1"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Items count="1">
    <i/>
  </rowItems>
  <colItems count="1">
    <i/>
  </colItems>
  <dataFields count="1">
    <dataField name="Sum of Estimated Hardware Revenue (proxy) (Global USD)" fld="11" baseField="0" baseItem="0" numFmtId="172"/>
  </dataFields>
  <formats count="1">
    <format dxfId="10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BB5A8F3-0948-497E-A6BF-3B78F1411CB1}" name="Top Consoles by Units 2"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D52:E63" firstHeaderRow="1" firstDataRow="1" firstDataCol="1"/>
  <pivotFields count="52">
    <pivotField axis="axisRow" showAll="0" measureFilter="1" sortType="ascending">
      <items count="29">
        <item x="0"/>
        <item x="1"/>
        <item x="2"/>
        <item x="3"/>
        <item x="4"/>
        <item x="5"/>
        <item x="6"/>
        <item x="7"/>
        <item x="8"/>
        <item x="9"/>
        <item x="26"/>
        <item x="10"/>
        <item x="11"/>
        <item x="12"/>
        <item x="13"/>
        <item x="14"/>
        <item x="15"/>
        <item x="16"/>
        <item x="17"/>
        <item x="18"/>
        <item m="1" x="27"/>
        <item x="20"/>
        <item x="21"/>
        <item x="22"/>
        <item x="23"/>
        <item x="24"/>
        <item x="25"/>
        <item x="19"/>
        <item t="default"/>
      </items>
      <autoSortScope>
        <pivotArea dataOnly="0" outline="0" fieldPosition="0">
          <references count="1">
            <reference field="4294967294" count="1" selected="0">
              <x v="0"/>
            </reference>
          </references>
        </pivotArea>
      </autoSortScope>
    </pivotField>
    <pivotField showAll="0">
      <items count="5">
        <item x="3"/>
        <item x="1"/>
        <item x="0"/>
        <item x="2"/>
        <item t="default"/>
      </items>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dataField="1" numFmtId="3" showAll="0"/>
    <pivotField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Fields count="1">
    <field x="0"/>
  </rowFields>
  <rowItems count="11">
    <i>
      <x v="19"/>
    </i>
    <i>
      <x v="6"/>
    </i>
    <i>
      <x v="2"/>
    </i>
    <i>
      <x v="16"/>
    </i>
    <i>
      <x v="13"/>
    </i>
    <i>
      <x v="21"/>
    </i>
    <i>
      <x v="11"/>
    </i>
    <i>
      <x v="1"/>
    </i>
    <i>
      <x v="9"/>
    </i>
    <i>
      <x v="12"/>
    </i>
    <i t="grand">
      <x/>
    </i>
  </rowItems>
  <colItems count="1">
    <i/>
  </colItems>
  <dataFields count="1">
    <dataField name="Sum of HardwareUnitsSold (Global)" fld="10" baseField="0" baseItem="0" numFmtId="3"/>
  </dataFields>
  <chartFormats count="1">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233A838-0EE3-4A73-B609-2DB1E747553D}" name="Unit Share by Manufacturer"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I37:J42" firstHeaderRow="1" firstDataRow="1" firstDataCol="1"/>
  <pivotFields count="52">
    <pivotField showAll="0"/>
    <pivotField axis="axisRow" showAll="0" sortType="descending">
      <items count="5">
        <item x="3"/>
        <item x="1"/>
        <item x="0"/>
        <item x="2"/>
        <item t="default"/>
      </items>
      <autoSortScope>
        <pivotArea dataOnly="0" outline="0" fieldPosition="0">
          <references count="1">
            <reference field="4294967294" count="1" selected="0">
              <x v="0"/>
            </reference>
          </references>
        </pivotArea>
      </autoSortScope>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dataField="1" numFmtId="3" showAll="0"/>
    <pivotField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Fields count="1">
    <field x="1"/>
  </rowFields>
  <rowItems count="5">
    <i>
      <x v="1"/>
    </i>
    <i>
      <x v="3"/>
    </i>
    <i>
      <x v="2"/>
    </i>
    <i>
      <x/>
    </i>
    <i t="grand">
      <x/>
    </i>
  </rowItems>
  <colItems count="1">
    <i/>
  </colItems>
  <dataFields count="1">
    <dataField name="Sum of HardwareUnitsSold (Global)" fld="10" baseField="0" baseItem="0" numFmtId="3"/>
  </dataFields>
  <chartFormats count="5">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1" count="1" selected="0">
            <x v="0"/>
          </reference>
        </references>
      </pivotArea>
    </chartFormat>
    <chartFormat chart="2" format="8">
      <pivotArea type="data" outline="0" fieldPosition="0">
        <references count="2">
          <reference field="4294967294" count="1" selected="0">
            <x v="0"/>
          </reference>
          <reference field="1" count="1" selected="0">
            <x v="1"/>
          </reference>
        </references>
      </pivotArea>
    </chartFormat>
    <chartFormat chart="2" format="9">
      <pivotArea type="data" outline="0" fieldPosition="0">
        <references count="2">
          <reference field="4294967294" count="1" selected="0">
            <x v="0"/>
          </reference>
          <reference field="1" count="1" selected="0">
            <x v="2"/>
          </reference>
        </references>
      </pivotArea>
    </chartFormat>
    <chartFormat chart="2" format="10">
      <pivotArea type="data" outline="0" fieldPosition="0">
        <references count="2">
          <reference field="4294967294" count="1" selected="0">
            <x v="0"/>
          </reference>
          <reference field="1"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067E81F-49F3-44A8-A192-E58164FC80D9}" name="Best Selling Game (Per Units)"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7:B55" firstHeaderRow="1" firstDataRow="1" firstDataCol="1"/>
  <pivotFields count="52">
    <pivotField showAll="0"/>
    <pivotField showAll="0">
      <items count="5">
        <item x="3"/>
        <item x="1"/>
        <item x="0"/>
        <item x="2"/>
        <item t="default"/>
      </items>
    </pivotField>
    <pivotField showAll="0">
      <items count="8">
        <item x="2"/>
        <item x="1"/>
        <item x="4"/>
        <item x="0"/>
        <item x="5"/>
        <item x="3"/>
        <item x="6"/>
        <item t="default"/>
      </items>
    </pivotField>
    <pivotField numFmtId="166" showAll="0"/>
    <pivotField axis="axisRow" showAll="0" sortType="descending">
      <items count="27">
        <item x="24"/>
        <item x="9"/>
        <item x="11"/>
        <item x="14"/>
        <item x="10"/>
        <item x="21"/>
        <item x="22"/>
        <item x="6"/>
        <item x="20"/>
        <item x="18"/>
        <item x="25"/>
        <item x="12"/>
        <item x="13"/>
        <item x="8"/>
        <item x="23"/>
        <item x="2"/>
        <item x="0"/>
        <item x="3"/>
        <item x="7"/>
        <item x="5"/>
        <item x="17"/>
        <item x="4"/>
        <item x="1"/>
        <item x="15"/>
        <item x="16"/>
        <item x="19"/>
        <item t="default"/>
      </items>
      <autoSortScope>
        <pivotArea dataOnly="0" outline="0" fieldPosition="0">
          <references count="1">
            <reference field="4294967294" count="1" selected="0">
              <x v="0"/>
            </reference>
          </references>
        </pivotArea>
      </autoSortScope>
    </pivotField>
    <pivotField dataField="1" numFmtId="3" showAll="0"/>
    <pivotField numFmtId="165" showAll="0"/>
    <pivotField showAll="0"/>
    <pivotField showAll="0"/>
    <pivotField showAll="0"/>
    <pivotField numFmtId="3" showAll="0"/>
    <pivotField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Fields count="1">
    <field x="4"/>
  </rowFields>
  <rowItems count="18">
    <i>
      <x v="25"/>
    </i>
    <i>
      <x v="19"/>
    </i>
    <i>
      <x v="22"/>
    </i>
    <i>
      <x v="13"/>
    </i>
    <i>
      <x v="20"/>
    </i>
    <i>
      <x v="2"/>
    </i>
    <i>
      <x v="4"/>
    </i>
    <i>
      <x v="15"/>
    </i>
    <i>
      <x v="17"/>
    </i>
    <i>
      <x v="18"/>
    </i>
    <i>
      <x v="1"/>
    </i>
    <i>
      <x v="8"/>
    </i>
    <i>
      <x v="3"/>
    </i>
    <i>
      <x v="21"/>
    </i>
    <i>
      <x v="5"/>
    </i>
    <i>
      <x v="16"/>
    </i>
    <i>
      <x v="24"/>
    </i>
    <i t="grand">
      <x/>
    </i>
  </rowItems>
  <colItems count="1">
    <i/>
  </colItems>
  <dataFields count="1">
    <dataField name="Sum of BestSellingUnitsSold" fld="5" baseField="0" baseItem="0" numFmtId="3"/>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0EC68E2-74D7-4372-9108-1A52E313C1C5}" name="Top Consoles by Revenue" cacheId="3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D37:E48" firstHeaderRow="1" firstDataRow="1" firstDataCol="1"/>
  <pivotFields count="52">
    <pivotField axis="axisRow" showAll="0" measureFilter="1" sortType="ascending">
      <items count="29">
        <item x="0"/>
        <item x="1"/>
        <item x="2"/>
        <item x="3"/>
        <item x="4"/>
        <item x="5"/>
        <item x="6"/>
        <item x="7"/>
        <item x="8"/>
        <item x="9"/>
        <item x="26"/>
        <item x="10"/>
        <item x="11"/>
        <item x="12"/>
        <item x="13"/>
        <item x="14"/>
        <item x="15"/>
        <item x="16"/>
        <item x="17"/>
        <item x="18"/>
        <item m="1" x="27"/>
        <item x="20"/>
        <item x="21"/>
        <item x="22"/>
        <item x="23"/>
        <item x="24"/>
        <item x="25"/>
        <item x="19"/>
        <item t="default"/>
      </items>
      <autoSortScope>
        <pivotArea dataOnly="0" outline="0" fieldPosition="0">
          <references count="1">
            <reference field="4294967294" count="1" selected="0">
              <x v="0"/>
            </reference>
          </references>
        </pivotArea>
      </autoSortScope>
    </pivotField>
    <pivotField showAll="0">
      <items count="5">
        <item x="3"/>
        <item x="1"/>
        <item x="0"/>
        <item x="2"/>
        <item t="default"/>
      </items>
    </pivotField>
    <pivotField showAll="0">
      <items count="8">
        <item x="2"/>
        <item x="1"/>
        <item x="4"/>
        <item x="0"/>
        <item x="5"/>
        <item x="3"/>
        <item x="6"/>
        <item t="default"/>
      </items>
    </pivotField>
    <pivotField numFmtId="166" showAll="0"/>
    <pivotField showAll="0"/>
    <pivotField numFmtId="3" showAll="0"/>
    <pivotField numFmtId="165" showAll="0"/>
    <pivotField showAll="0"/>
    <pivotField showAll="0"/>
    <pivotField showAll="0"/>
    <pivotField numFmtId="3" showAll="0"/>
    <pivotField dataField="1" numFmtId="167" showAll="0"/>
    <pivotField showAll="0"/>
    <pivotField numFmtId="1" showAll="0"/>
    <pivotField showAll="0"/>
    <pivotField numFmtId="168" showAll="0"/>
    <pivotField showAll="0"/>
    <pivotField showAll="0"/>
    <pivotField showAll="0"/>
    <pivotField showAll="0"/>
    <pivotField numFmtId="2" showAll="0"/>
    <pivotField showAll="0">
      <items count="4">
        <item h="1" x="1"/>
        <item h="1" x="2"/>
        <item x="0"/>
        <item t="default"/>
      </items>
    </pivotField>
    <pivotField showAll="0"/>
    <pivotField showAll="0">
      <items count="11">
        <item x="0"/>
        <item x="1"/>
        <item x="6"/>
        <item x="3"/>
        <item x="2"/>
        <item x="7"/>
        <item x="8"/>
        <item x="9"/>
        <item x="4"/>
        <item x="5"/>
        <item t="default"/>
      </items>
    </pivotField>
    <pivotField showAll="0">
      <items count="3">
        <item x="1"/>
        <item x="0"/>
        <item t="default"/>
      </items>
    </pivotField>
    <pivotField showAll="0"/>
    <pivotField numFmtId="1" showAll="0"/>
    <pivotField numFmtId="1" showAll="0">
      <items count="3">
        <item x="0"/>
        <item h="1" x="1"/>
        <item t="default"/>
      </items>
    </pivotField>
    <pivotField showAll="0"/>
    <pivotField numFmtId="1" showAll="0"/>
    <pivotField showAll="0"/>
    <pivotField numFmtId="168" showAll="0"/>
    <pivotField numFmtId="170" showAll="0"/>
    <pivotField numFmtId="3" showAll="0"/>
    <pivotField numFmtId="3" showAll="0"/>
    <pivotField numFmtId="3" showAll="0"/>
    <pivotField numFmtId="3" showAll="0"/>
    <pivotField numFmtId="167" showAll="0"/>
    <pivotField numFmtId="167" showAll="0"/>
    <pivotField numFmtId="167" showAll="0"/>
    <pivotField numFmtId="167" showAll="0"/>
    <pivotField numFmtId="3" showAll="0"/>
    <pivotField numFmtId="3" showAll="0"/>
    <pivotField numFmtId="3" showAll="0"/>
    <pivotField numFmtId="3" showAll="0"/>
    <pivotField numFmtId="167" showAll="0"/>
    <pivotField numFmtId="167" showAll="0"/>
    <pivotField numFmtId="167" showAll="0"/>
    <pivotField numFmtId="167" showAll="0"/>
    <pivotField numFmtId="1" showAll="0"/>
    <pivotField showAll="0"/>
    <pivotField showAll="0"/>
  </pivotFields>
  <rowFields count="1">
    <field x="0"/>
  </rowFields>
  <rowItems count="11">
    <i>
      <x v="2"/>
    </i>
    <i>
      <x v="19"/>
    </i>
    <i>
      <x v="1"/>
    </i>
    <i>
      <x v="6"/>
    </i>
    <i>
      <x v="16"/>
    </i>
    <i>
      <x v="9"/>
    </i>
    <i>
      <x v="21"/>
    </i>
    <i>
      <x v="11"/>
    </i>
    <i>
      <x v="13"/>
    </i>
    <i>
      <x v="12"/>
    </i>
    <i t="grand">
      <x/>
    </i>
  </rowItems>
  <colItems count="1">
    <i/>
  </colItems>
  <dataFields count="1">
    <dataField name="Sum of Estimated Hardware Revenue (proxy) (Global USD)" fld="11" baseField="0" baseItem="0" numFmtId="167"/>
  </dataFields>
  <chartFormats count="3">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dRichValueWebImage.xml.rels><?xml version="1.0" encoding="UTF-8" standalone="yes"?>
<Relationships xmlns="http://schemas.openxmlformats.org/package/2006/relationships"><Relationship Id="rId13" Type="http://schemas.openxmlformats.org/officeDocument/2006/relationships/hyperlink" Target="https://cdn.mos.cms.futurecdn.net/22c219df4c008478c01ef245c9b5492f-1200-80.jpg.webp" TargetMode="External"/><Relationship Id="rId18" Type="http://schemas.openxmlformats.org/officeDocument/2006/relationships/image" Target="../media/image9.png"/><Relationship Id="rId26" Type="http://schemas.openxmlformats.org/officeDocument/2006/relationships/image" Target="../media/image13.jpg"/><Relationship Id="rId39" Type="http://schemas.openxmlformats.org/officeDocument/2006/relationships/hyperlink" Target="https://assets.altarofgaming.com/wp-content/uploads/2024/11/virtua-fighter-2-2d-game-logo-altar-of-gaming-300x150.png" TargetMode="External"/><Relationship Id="rId21" Type="http://schemas.openxmlformats.org/officeDocument/2006/relationships/hyperlink" Target="https://www.nicepng.com/png/detail/48-489434_sony-playstation-2-logo-vector-playstation-2-logo.png" TargetMode="External"/><Relationship Id="rId34" Type="http://schemas.openxmlformats.org/officeDocument/2006/relationships/image" Target="../media/image17.jpg"/><Relationship Id="rId42" Type="http://schemas.openxmlformats.org/officeDocument/2006/relationships/image" Target="../media/image21.jpg"/><Relationship Id="rId47" Type="http://schemas.openxmlformats.org/officeDocument/2006/relationships/hyperlink" Target="https://upload.wikimedia.org/wikipedia/commons/thumb/7/7a/Halo_Combat_Evolved.png/1280px-Halo_Combat_Evolved.png?20181104212101" TargetMode="External"/><Relationship Id="rId50" Type="http://schemas.openxmlformats.org/officeDocument/2006/relationships/image" Target="../media/image25.png"/><Relationship Id="rId7" Type="http://schemas.openxmlformats.org/officeDocument/2006/relationships/hyperlink" Target="https://upload.wikimedia.org/wikipedia/commons/thumb/1/1f/Sonic_The_Hedgehog.svg/500px-Sonic_The_Hedgehog.svg.png" TargetMode="External"/><Relationship Id="rId2" Type="http://schemas.openxmlformats.org/officeDocument/2006/relationships/image" Target="../media/image1.png"/><Relationship Id="rId16" Type="http://schemas.openxmlformats.org/officeDocument/2006/relationships/image" Target="../media/image8.png"/><Relationship Id="rId29" Type="http://schemas.openxmlformats.org/officeDocument/2006/relationships/hyperlink" Target="https://images6.alphacoders.com/132/thumb-1920-1320359.jpeg" TargetMode="External"/><Relationship Id="rId11" Type="http://schemas.openxmlformats.org/officeDocument/2006/relationships/hyperlink" Target="https://zenius-i-vanisher.com/simfiles/HellKiteChaoS%201/Super%20Mario%20Bros.%20Overworld%20Theme/Super%20Mario%20Bros.%20Overworld%20Theme.png?t=1582692203" TargetMode="External"/><Relationship Id="rId24" Type="http://schemas.openxmlformats.org/officeDocument/2006/relationships/image" Target="../media/image12.png"/><Relationship Id="rId32" Type="http://schemas.openxmlformats.org/officeDocument/2006/relationships/image" Target="../media/image16.jpg"/><Relationship Id="rId37" Type="http://schemas.openxmlformats.org/officeDocument/2006/relationships/hyperlink" Target="https://assets.altarofgaming.com/wp-content/uploads/2022/01/uncharted-golden-abyss-logo-altar-of-gaming-300x150.png" TargetMode="External"/><Relationship Id="rId40" Type="http://schemas.openxmlformats.org/officeDocument/2006/relationships/image" Target="../media/image20.png"/><Relationship Id="rId45" Type="http://schemas.openxmlformats.org/officeDocument/2006/relationships/hyperlink" Target="https://mario.wiki.gallery/images/thumb/b/b0/Mario_Kart_8_Logo.png/375px-Mario_Kart_8_Logo.png" TargetMode="External"/><Relationship Id="rId53" Type="http://schemas.openxmlformats.org/officeDocument/2006/relationships/hyperlink" Target="https://i.pinimg.com/1200x/17/35/68/17356812c54eb21b9b1c17776e8d9755.jpg" TargetMode="External"/><Relationship Id="rId5" Type="http://schemas.openxmlformats.org/officeDocument/2006/relationships/hyperlink" Target="https://static.wikia.nocookie.net/mudae/images/5/59/Pok%C3%A9mon_Ruby_Sapphire_Emerald_Logo.png/revision/latest/scale-to-width-down/1000?cb=20210607211706" TargetMode="External"/><Relationship Id="rId10" Type="http://schemas.openxmlformats.org/officeDocument/2006/relationships/image" Target="../media/image5.png"/><Relationship Id="rId19" Type="http://schemas.openxmlformats.org/officeDocument/2006/relationships/hyperlink" Target="https://static.wikia.nocookie.net/mario/images/5/58/Mario_Kart_World_logo.png/revision/latest?cb=20250402185550" TargetMode="External"/><Relationship Id="rId31" Type="http://schemas.openxmlformats.org/officeDocument/2006/relationships/hyperlink" Target="https://upload.wikimedia.org/wikipedia/commons/9/94/Spider-Man_PS4.jpg" TargetMode="External"/><Relationship Id="rId44" Type="http://schemas.openxmlformats.org/officeDocument/2006/relationships/image" Target="../media/image22.jpg"/><Relationship Id="rId52" Type="http://schemas.openxmlformats.org/officeDocument/2006/relationships/image" Target="../media/image26.png"/><Relationship Id="rId4" Type="http://schemas.openxmlformats.org/officeDocument/2006/relationships/image" Target="../media/image2.jpg"/><Relationship Id="rId9" Type="http://schemas.openxmlformats.org/officeDocument/2006/relationships/hyperlink" Target="https://www.nicepng.com/png/detail/225-2256725_super-smash-bros-melee-logo.png" TargetMode="External"/><Relationship Id="rId14" Type="http://schemas.openxmlformats.org/officeDocument/2006/relationships/image" Target="../media/image7.png"/><Relationship Id="rId22" Type="http://schemas.openxmlformats.org/officeDocument/2006/relationships/image" Target="../media/image11.png"/><Relationship Id="rId27" Type="http://schemas.openxmlformats.org/officeDocument/2006/relationships/hyperlink" Target="https://www.kindpng.com/picc/m/99-997842_gta-san-andreas-hd-png-download.png" TargetMode="External"/><Relationship Id="rId30" Type="http://schemas.openxmlformats.org/officeDocument/2006/relationships/image" Target="../media/image15.jpeg"/><Relationship Id="rId35" Type="http://schemas.openxmlformats.org/officeDocument/2006/relationships/hyperlink" Target="https://upload.wikimedia.org/wikipedia/commons/b/b8/Grand_Theft_Auto_Liberty_City_Stories_logo.png" TargetMode="External"/><Relationship Id="rId43" Type="http://schemas.openxmlformats.org/officeDocument/2006/relationships/hyperlink" Target="https://cdn.mobygames.com/screenshots/12490162-mario-kart-8-deluxe-nintendo-switch-initializing-the-game.jpg" TargetMode="External"/><Relationship Id="rId48" Type="http://schemas.openxmlformats.org/officeDocument/2006/relationships/image" Target="../media/image24.png"/><Relationship Id="rId8" Type="http://schemas.openxmlformats.org/officeDocument/2006/relationships/image" Target="../media/image4.png"/><Relationship Id="rId51" Type="http://schemas.openxmlformats.org/officeDocument/2006/relationships/hyperlink" Target="https://static.wikia.nocookie.net/jacksepticeye/images/c/c5/PlayerUnknown%27s_Battlegrounds_logo.png/revision/latest?cb=20190328212451" TargetMode="External"/><Relationship Id="rId3" Type="http://schemas.openxmlformats.org/officeDocument/2006/relationships/hyperlink" Target="https://res.cloudinary.com/vanta-pm/image/upload/q_40/f_auto/v1694559749/Game%20banners/tetris_jhtaml.jpg" TargetMode="External"/><Relationship Id="rId12" Type="http://schemas.openxmlformats.org/officeDocument/2006/relationships/image" Target="../media/image6.png"/><Relationship Id="rId17" Type="http://schemas.openxmlformats.org/officeDocument/2006/relationships/hyperlink" Target="https://ssb.wiki.gallery/images/thumb/1/1a/Nintendogs_logo.png/450px-Nintendogs_logo.png" TargetMode="External"/><Relationship Id="rId25" Type="http://schemas.openxmlformats.org/officeDocument/2006/relationships/hyperlink" Target="https://images2.alphacoders.com/530/thumb-1920-530581.jpg" TargetMode="External"/><Relationship Id="rId33" Type="http://schemas.openxmlformats.org/officeDocument/2006/relationships/hyperlink" Target="https://shared.steamstatic.com/store_item_assets/steam/apps/2651280/header.jpg?t=1763569811" TargetMode="External"/><Relationship Id="rId38" Type="http://schemas.openxmlformats.org/officeDocument/2006/relationships/image" Target="../media/image19.png"/><Relationship Id="rId46" Type="http://schemas.openxmlformats.org/officeDocument/2006/relationships/image" Target="../media/image23.png"/><Relationship Id="rId20" Type="http://schemas.openxmlformats.org/officeDocument/2006/relationships/image" Target="../media/image10.png"/><Relationship Id="rId41" Type="http://schemas.openxmlformats.org/officeDocument/2006/relationships/hyperlink" Target="https://i0.wp.com/www.arcadeattack.co.uk/wp-content/uploads/2019/07/Super-Mario-World-SNES-Banner.jpg?w=600&amp;ssl=1" TargetMode="External"/><Relationship Id="rId54" Type="http://schemas.openxmlformats.org/officeDocument/2006/relationships/image" Target="../media/image27.jpg"/><Relationship Id="rId1" Type="http://schemas.openxmlformats.org/officeDocument/2006/relationships/hyperlink" Target="https://static.wikia.nocookie.net/sonic/images/2/2b/SonicAdventure_Logo.png/revision/latest/scale-to-width-down/1000?cb=20200603195216" TargetMode="External"/><Relationship Id="rId6" Type="http://schemas.openxmlformats.org/officeDocument/2006/relationships/image" Target="../media/image3.png"/><Relationship Id="rId15" Type="http://schemas.openxmlformats.org/officeDocument/2006/relationships/hyperlink" Target="https://www.mariowiki.com/images/2/20/SuperMario64Logo4.png?20201030121048" TargetMode="External"/><Relationship Id="rId23" Type="http://schemas.openxmlformats.org/officeDocument/2006/relationships/hyperlink" Target="https://www.kindpng.com/picc/m/650-6502723_wii-sports-logo-png-transparent-png.png" TargetMode="External"/><Relationship Id="rId28" Type="http://schemas.openxmlformats.org/officeDocument/2006/relationships/image" Target="../media/image14.png"/><Relationship Id="rId36" Type="http://schemas.openxmlformats.org/officeDocument/2006/relationships/image" Target="../media/image18.png"/><Relationship Id="rId49" Type="http://schemas.openxmlformats.org/officeDocument/2006/relationships/hyperlink" Target="https://assets.altarofgaming.com/wp-content/uploads/2022/06/kinect-adventures-logo-altar-of-gaming-300x150.png"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Srd>
</file>

<file path=xl/richData/rdrichvalue.xml><?xml version="1.0" encoding="utf-8"?>
<rvData xmlns="http://schemas.microsoft.com/office/spreadsheetml/2017/richdata" count="27">
  <rv s="0">
    <v>0</v>
    <v>1</v>
    <v>0</v>
    <v>1</v>
  </rv>
  <rv s="0">
    <v>1</v>
    <v>1</v>
    <v>0</v>
    <v>1</v>
  </rv>
  <rv s="0">
    <v>2</v>
    <v>1</v>
    <v>0</v>
    <v>1</v>
  </rv>
  <rv s="0">
    <v>3</v>
    <v>1</v>
    <v>0</v>
    <v>1</v>
  </rv>
  <rv s="0">
    <v>4</v>
    <v>1</v>
    <v>0</v>
    <v>1</v>
  </rv>
  <rv s="0">
    <v>5</v>
    <v>1</v>
    <v>0</v>
    <v>1</v>
  </rv>
  <rv s="0">
    <v>6</v>
    <v>1</v>
    <v>0</v>
    <v>1</v>
  </rv>
  <rv s="0">
    <v>7</v>
    <v>1</v>
    <v>0</v>
    <v>1</v>
  </rv>
  <rv s="0">
    <v>8</v>
    <v>1</v>
    <v>0</v>
    <v>1</v>
  </rv>
  <rv s="0">
    <v>9</v>
    <v>1</v>
    <v>0</v>
    <v>1</v>
  </rv>
  <rv s="0">
    <v>10</v>
    <v>1</v>
    <v>0</v>
    <v>1</v>
  </rv>
  <rv s="0">
    <v>11</v>
    <v>1</v>
    <v>0</v>
    <v>1</v>
  </rv>
  <rv s="0">
    <v>12</v>
    <v>1</v>
    <v>0</v>
    <v>1</v>
  </rv>
  <rv s="0">
    <v>13</v>
    <v>1</v>
    <v>0</v>
    <v>1</v>
  </rv>
  <rv s="0">
    <v>14</v>
    <v>1</v>
    <v>0</v>
    <v>1</v>
  </rv>
  <rv s="0">
    <v>15</v>
    <v>1</v>
    <v>0</v>
    <v>1</v>
  </rv>
  <rv s="0">
    <v>16</v>
    <v>1</v>
    <v>0</v>
    <v>1</v>
  </rv>
  <rv s="0">
    <v>17</v>
    <v>1</v>
    <v>0</v>
    <v>1</v>
  </rv>
  <rv s="0">
    <v>18</v>
    <v>1</v>
    <v>0</v>
    <v>1</v>
  </rv>
  <rv s="0">
    <v>19</v>
    <v>1</v>
    <v>0</v>
    <v>1</v>
  </rv>
  <rv s="0">
    <v>20</v>
    <v>1</v>
    <v>0</v>
    <v>1</v>
  </rv>
  <rv s="0">
    <v>21</v>
    <v>1</v>
    <v>0</v>
    <v>1</v>
  </rv>
  <rv s="0">
    <v>22</v>
    <v>1</v>
    <v>0</v>
    <v>1</v>
  </rv>
  <rv s="0">
    <v>23</v>
    <v>1</v>
    <v>0</v>
    <v>1</v>
  </rv>
  <rv s="0">
    <v>24</v>
    <v>1</v>
    <v>0</v>
    <v>1</v>
  </rv>
  <rv s="0">
    <v>25</v>
    <v>1</v>
    <v>0</v>
    <v>1</v>
  </rv>
  <rv s="0">
    <v>26</v>
    <v>1</v>
    <v>0</v>
    <v>1</v>
  </rv>
</rvData>
</file>

<file path=xl/richData/rdrichvaluestructure.xml><?xml version="1.0" encoding="utf-8"?>
<rvStructures xmlns="http://schemas.microsoft.com/office/spreadsheetml/2017/richdata" count="1">
  <s t="_webimage">
    <k n="WebImageIdentifier" t="i"/>
    <k n="CalcOrigin" t="i"/>
    <k n="ComputedImage" t="b"/>
    <k n="ImageSizing" t="i"/>
  </s>
</rvStructure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A156B0C7-0C43-4B48-BCE4-BD2D8301298A}" sourceName="Manufacturer">
  <pivotTables>
    <pivotTable tabId="3" name="Total Hardware Units Sold (Global)"/>
    <pivotTable tabId="3" name="Estimated Hardware Revenue"/>
    <pivotTable tabId="3" name="Average Hardware Price"/>
    <pivotTable tabId="3" name="Top Console by Units"/>
    <pivotTable tabId="3" name="Top Console by Revenue"/>
    <pivotTable tabId="3" name="Best Selling Game (Per Units)"/>
    <pivotTable tabId="3" name="Top Consoles by Revenue"/>
    <pivotTable tabId="3" name="Top Consoles by Units 2"/>
    <pivotTable tabId="3" name="Generation Performance"/>
    <pivotTable tabId="3" name="Revenue Share by Manufacturer"/>
    <pivotTable tabId="3" name="Unit Share by Manufacturer"/>
    <pivotTable tabId="3" name="Best-Seller Impact"/>
  </pivotTables>
  <data>
    <tabular pivotCacheId="499778470">
      <items count="4">
        <i x="3" s="1"/>
        <i x="1"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eration" xr10:uid="{57A8F10B-E28F-404F-8F89-7D72A67EF9B3}" sourceName="Generation">
  <pivotTables>
    <pivotTable tabId="3" name="Total Hardware Units Sold (Global)"/>
    <pivotTable tabId="3" name="Estimated Hardware Revenue"/>
    <pivotTable tabId="3" name="Average Hardware Price"/>
    <pivotTable tabId="3" name="Top Console by Units"/>
    <pivotTable tabId="3" name="Top Console by Revenue"/>
    <pivotTable tabId="3" name="Best Selling Game (Per Units)"/>
    <pivotTable tabId="3" name="Top Consoles by Revenue"/>
    <pivotTable tabId="3" name="Top Consoles by Units 2"/>
    <pivotTable tabId="3" name="Generation Performance"/>
    <pivotTable tabId="3" name="Revenue Share by Manufacturer"/>
    <pivotTable tabId="3" name="Unit Share by Manufacturer"/>
    <pivotTable tabId="3" name="Best-Seller Impact"/>
  </pivotTables>
  <data>
    <tabular pivotCacheId="499778470">
      <items count="7">
        <i x="2" s="1"/>
        <i x="1" s="1"/>
        <i x="4" s="1"/>
        <i x="0" s="1"/>
        <i x="5" s="1"/>
        <i x="3" s="1"/>
        <i x="6"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BasisType" xr10:uid="{73F90AE3-2C71-4BE2-BF1F-9B0A486EDDDC}" sourceName="SalesBasisType">
  <pivotTables>
    <pivotTable tabId="3" name="Total Hardware Units Sold (Global)"/>
    <pivotTable tabId="3" name="Estimated Hardware Revenue"/>
    <pivotTable tabId="3" name="Average Hardware Price"/>
    <pivotTable tabId="3" name="Top Console by Units"/>
    <pivotTable tabId="3" name="Top Console by Revenue"/>
    <pivotTable tabId="3" name="Best Selling Game (Per Units)"/>
    <pivotTable tabId="3" name="Top Consoles by Revenue"/>
    <pivotTable tabId="3" name="Top Consoles by Units 2"/>
    <pivotTable tabId="3" name="Generation Performance"/>
    <pivotTable tabId="3" name="Unit Share by Manufacturer"/>
    <pivotTable tabId="3" name="Best-Seller Impact"/>
    <pivotTable tabId="3" name="Revenue Share by Manufacturer"/>
  </pivotTables>
  <data>
    <tabular pivotCacheId="499778470">
      <items count="3">
        <i x="1"/>
        <i x="0" s="1"/>
        <i x="2"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OfDate" xr10:uid="{B10A0BC4-BCC1-4209-A571-4B97BD9A68D5}" sourceName="AsOfDate">
  <pivotTables>
    <pivotTable tabId="3" name="Total Hardware Units Sold (Global)"/>
    <pivotTable tabId="3" name="Average Hardware Price"/>
    <pivotTable tabId="3" name="Estimated Hardware Revenue"/>
    <pivotTable tabId="3" name="Top Console by Units"/>
    <pivotTable tabId="3" name="Top Console by Revenue"/>
    <pivotTable tabId="3" name="Best Selling Game (Per Units)"/>
    <pivotTable tabId="3" name="Top Consoles by Revenue"/>
    <pivotTable tabId="3" name="Top Consoles by Units 2"/>
    <pivotTable tabId="3" name="Generation Performance"/>
    <pivotTable tabId="3" name="Revenue Share by Manufacturer"/>
    <pivotTable tabId="3" name="Unit Share by Manufacturer"/>
    <pivotTable tabId="3" name="Best-Seller Impact"/>
  </pivotTables>
  <data>
    <tabular pivotCacheId="499778470">
      <items count="10">
        <i x="0" s="1"/>
        <i x="1" s="1" nd="1"/>
        <i x="6" s="1" nd="1"/>
        <i x="3" s="1" nd="1"/>
        <i x="2" s="1" nd="1"/>
        <i x="7" s="1" nd="1"/>
        <i x="8" s="1" nd="1"/>
        <i x="9" s="1" nd="1"/>
        <i x="4" s="1" nd="1"/>
        <i x="5" s="1"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tiveFlag" xr10:uid="{68593822-A0CC-4F05-8C76-1F28A1C07B75}" sourceName="ActiveFlag">
  <pivotTables>
    <pivotTable tabId="3" name="Total Hardware Units Sold (Global)"/>
    <pivotTable tabId="3" name="Average Hardware Price"/>
    <pivotTable tabId="3" name="Estimated Hardware Revenue"/>
    <pivotTable tabId="3" name="Top Console by Units"/>
    <pivotTable tabId="3" name="Top Console by Revenue"/>
    <pivotTable tabId="3" name="Best Selling Game (Per Units)"/>
    <pivotTable tabId="3" name="Top Consoles by Revenue"/>
    <pivotTable tabId="3" name="Top Consoles by Units 2"/>
    <pivotTable tabId="3" name="Generation Performance"/>
    <pivotTable tabId="3" name="Revenue Share by Manufacturer"/>
    <pivotTable tabId="3" name="Unit Share by Manufacturer"/>
    <pivotTable tabId="3" name="Best-Seller Impact"/>
  </pivotTables>
  <data>
    <tabular pivotCacheId="499778470">
      <items count="2">
        <i x="0" s="1"/>
        <i x="1" s="1" nd="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HardwareEstimate" xr10:uid="{E7D85A3C-0C68-474B-94F7-745828118F1E}" sourceName="IsHardwareEstimate">
  <pivotTables>
    <pivotTable tabId="3" name="Total Hardware Units Sold (Global)"/>
    <pivotTable tabId="3" name="Average Hardware Price"/>
    <pivotTable tabId="3" name="Estimated Hardware Revenue"/>
    <pivotTable tabId="3" name="Top Console by Units"/>
    <pivotTable tabId="3" name="Top Console by Revenue"/>
    <pivotTable tabId="3" name="Best Selling Game (Per Units)"/>
    <pivotTable tabId="3" name="Top Consoles by Revenue"/>
    <pivotTable tabId="3" name="Top Consoles by Units 2"/>
    <pivotTable tabId="3" name="Generation Performance"/>
    <pivotTable tabId="3" name="Revenue Share by Manufacturer"/>
    <pivotTable tabId="3" name="Unit Share by Manufacturer"/>
    <pivotTable tabId="3" name="Best-Seller Impact"/>
  </pivotTables>
  <data>
    <tabular pivotCacheId="499778470">
      <items count="2">
        <i x="0" s="1"/>
        <i x="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nufacturer" xr10:uid="{9971B6FD-E341-44DD-9C8C-C42E02F5D565}" cache="Slicer_Manufacturer" caption="Manufacturer" columnCount="2" rowHeight="241300"/>
  <slicer name="Generation" xr10:uid="{8B5EAB40-C081-4981-93AB-3079E165D44D}" cache="Slicer_Generation" caption="Generation" columnCount="3" rowHeight="241300"/>
  <slicer name="SalesBasisType" xr10:uid="{50254BA8-723E-45E6-9301-5C95928CF01F}" cache="Slicer_SalesBasisType" caption="SalesBasisType" rowHeight="241300"/>
  <slicer name="AsOfDate" xr10:uid="{D51F7812-5456-4291-B4B0-CCE99E0F47C6}" cache="Slicer_AsOfDate" caption="AsOfDate" startItem="4" columnCount="2" rowHeight="241300"/>
  <slicer name="ActiveFlag" xr10:uid="{3DE2A371-9748-4912-BCB2-E602D799BE1C}" cache="Slicer_ActiveFlag" caption="ActiveFlag" columnCount="2" rowHeight="241300"/>
  <slicer name="IsHardwareEstimate" xr10:uid="{894478E9-9FAB-4C25-9674-C93CF24D533D}" cache="Slicer_IsHardwareEstimate" caption="IsHardwareEstimate" columnCount="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vg_data" displayName="vg_data" ref="A1:AZ28">
  <autoFilter ref="A1:AZ28" xr:uid="{00000000-0009-0000-0100-000001000000}"/>
  <tableColumns count="52">
    <tableColumn id="1" xr3:uid="{00000000-0010-0000-0000-000001000000}" name="ConsoleName"/>
    <tableColumn id="2" xr3:uid="{00000000-0010-0000-0000-000002000000}" name="Manufacturer"/>
    <tableColumn id="3" xr3:uid="{00000000-0010-0000-0000-000003000000}" name="Generation"/>
    <tableColumn id="4" xr3:uid="{00000000-0010-0000-0000-000004000000}" name="GameReleaseDate"/>
    <tableColumn id="5" xr3:uid="{00000000-0010-0000-0000-000005000000}" name="BestSellingGameTitle"/>
    <tableColumn id="6" xr3:uid="{00000000-0010-0000-0000-000006000000}" name="BestSellingUnitsSold"/>
    <tableColumn id="7" xr3:uid="{00000000-0010-0000-0000-000007000000}" name="Estimated Game Revenue (proxy) (USD)"/>
    <tableColumn id="8" xr3:uid="{00000000-0010-0000-0000-000008000000}" name="Genre"/>
    <tableColumn id="9" xr3:uid="{00000000-0010-0000-0000-000009000000}" name="Region"/>
    <tableColumn id="10" xr3:uid="{00000000-0010-0000-0000-00000A000000}" name="Developer"/>
    <tableColumn id="11" xr3:uid="{00000000-0010-0000-0000-00000B000000}" name="HardwareUnitsSold (Global)"/>
    <tableColumn id="12" xr3:uid="{00000000-0010-0000-0000-00000C000000}" name="Estimated Hardware Revenue (proxy) (Global USD)"/>
    <tableColumn id="13" xr3:uid="{00000000-0010-0000-0000-00000D000000}" name="HardwareSalesBasis (Lifetime or As-of YYYY-MM-DD)"/>
    <tableColumn id="14" xr3:uid="{00000000-0010-0000-0000-00000E000000}" name="LaunchYear"/>
    <tableColumn id="15" xr3:uid="{00000000-0010-0000-0000-00000F000000}" name="EndOfLifeYear"/>
    <tableColumn id="16" xr3:uid="{00000000-0010-0000-0000-000010000000}" name="US_MSRP_Low_USD"/>
    <tableColumn id="17" xr3:uid="{00000000-0010-0000-0000-000011000000}" name="US_MSRP_High_USD"/>
    <tableColumn id="18" xr3:uid="{00000000-0010-0000-0000-000012000000}" name="US_MSRP_Ref_USD"/>
    <tableColumn id="19" xr3:uid="{00000000-0010-0000-0000-000013000000}" name="MSRP_Source_URL"/>
    <tableColumn id="20" xr3:uid="{00000000-0010-0000-0000-000014000000}" name="HardwareASP_USD"/>
    <tableColumn id="21" xr3:uid="{00000000-0010-0000-0000-000015000000}" name="ImpliedRegionMultiplier"/>
    <tableColumn id="22" xr3:uid="{00000000-0010-0000-0000-000016000000}" name="SalesBasisType"/>
    <tableColumn id="23" xr3:uid="{00000000-0010-0000-0000-000017000000}" name="AsOfGranularity"/>
    <tableColumn id="24" xr3:uid="{00000000-0010-0000-0000-000018000000}" name="AsOfDate"/>
    <tableColumn id="25" xr3:uid="{00000000-0010-0000-0000-000019000000}" name="ActiveFlag"/>
    <tableColumn id="26" xr3:uid="{00000000-0010-0000-0000-00001A000000}" name="LifecycleYears"/>
    <tableColumn id="27" xr3:uid="{00000000-0010-0000-0000-00001B000000}" name="IsHardwareRevenueMissing"/>
    <tableColumn id="28" xr3:uid="{00000000-0010-0000-0000-00001C000000}" name="IsHardwareEstimate"/>
    <tableColumn id="29" xr3:uid="{00000000-0010-0000-0000-00001D000000}" name="HardwareRevenueMethod"/>
    <tableColumn id="30" xr3:uid="{00000000-0010-0000-0000-00001E000000}" name="IsGameRevenueEstimated"/>
    <tableColumn id="31" xr3:uid="{00000000-0010-0000-0000-00001F000000}" name="GameRevenueMethod"/>
    <tableColumn id="32" xr3:uid="{00000000-0010-0000-0000-000020000000}" name="BestSellerGameASP_USD"/>
    <tableColumn id="33" xr3:uid="{00000000-0010-0000-0000-000021000000}" name="BestSellerAttachRate"/>
    <tableColumn id="34" xr3:uid="{00000000-0010-0000-0000-000022000000}" name="HW_Units_NA (proxy)"/>
    <tableColumn id="35" xr3:uid="{00000000-0010-0000-0000-000023000000}" name="HW_Units_EU (proxy)"/>
    <tableColumn id="36" xr3:uid="{00000000-0010-0000-0000-000024000000}" name="HW_Units_JP (proxy)"/>
    <tableColumn id="37" xr3:uid="{00000000-0010-0000-0000-000025000000}" name="HW_Units_ROW (proxy)"/>
    <tableColumn id="38" xr3:uid="{00000000-0010-0000-0000-000026000000}" name="HW_Revenue_NA (proxy USD)"/>
    <tableColumn id="39" xr3:uid="{00000000-0010-0000-0000-000027000000}" name="HW_Revenue_EU (proxy USD)"/>
    <tableColumn id="40" xr3:uid="{00000000-0010-0000-0000-000028000000}" name="HW_Revenue_JP (proxy USD)"/>
    <tableColumn id="41" xr3:uid="{00000000-0010-0000-0000-000029000000}" name="HW_Revenue_ROW (proxy USD)"/>
    <tableColumn id="42" xr3:uid="{00000000-0010-0000-0000-00002A000000}" name="Game_Units_NA (proxy)"/>
    <tableColumn id="43" xr3:uid="{00000000-0010-0000-0000-00002B000000}" name="Game_Units_EU (proxy)"/>
    <tableColumn id="44" xr3:uid="{00000000-0010-0000-0000-00002C000000}" name="Game_Units_JP (proxy)"/>
    <tableColumn id="45" xr3:uid="{00000000-0010-0000-0000-00002D000000}" name="Game_Units_ROW (proxy)"/>
    <tableColumn id="46" xr3:uid="{00000000-0010-0000-0000-00002E000000}" name="Game_Revenue_NA (proxy USD)"/>
    <tableColumn id="47" xr3:uid="{00000000-0010-0000-0000-00002F000000}" name="Game_Revenue_EU (proxy USD)"/>
    <tableColumn id="48" xr3:uid="{00000000-0010-0000-0000-000030000000}" name="Game_Revenue_JP (proxy USD)"/>
    <tableColumn id="49" xr3:uid="{00000000-0010-0000-0000-000031000000}" name="Game_Revenue_ROW (proxy USD)"/>
    <tableColumn id="50" xr3:uid="{00000000-0010-0000-0000-000032000000}" name="IsRegionalEstimate"/>
    <tableColumn id="51" xr3:uid="{00000000-0010-0000-0000-000033000000}" name="RegionalSplitMethod"/>
    <tableColumn id="52" xr3:uid="{00000000-0010-0000-0000-000034000000}" name="RegionDefinitio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D783B1F-37EA-4F53-9983-C075854303E7}" name="ConsoleURLs" displayName="ConsoleURLs" ref="H1:L28" totalsRowShown="0">
  <autoFilter ref="H1:L28" xr:uid="{6D783B1F-37EA-4F53-9983-C075854303E7}"/>
  <tableColumns count="5">
    <tableColumn id="1" xr3:uid="{94AC7971-FE0B-45CA-AD05-A481DD877622}" name="Console_Name"/>
    <tableColumn id="2" xr3:uid="{FB2275CB-7066-4F48-A304-2A5339709721}" name="Console_URL"/>
    <tableColumn id="6" xr3:uid="{7A69AA12-E116-4D60-8AAD-6BF5F348C8F0}" name="Game_Names"/>
    <tableColumn id="4" xr3:uid="{B87430F5-0592-4A26-930F-74BAFF180127}" name="Game_URLs"/>
    <tableColumn id="5" xr3:uid="{1C7A026F-9320-466E-A1F7-0005C63C8033}" name="Column1" dataDxfId="105">
      <calculatedColumnFormula>_xlfn.IMAGE(ConsoleURLs[[#This Row],[Game_URLs]],,1)</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3" displayName="Table3" ref="A1:E24">
  <autoFilter ref="A1:E24" xr:uid="{00000000-0009-0000-0100-000002000000}"/>
  <tableColumns count="5">
    <tableColumn id="1" xr3:uid="{00000000-0010-0000-0100-000001000000}" name="Date"/>
    <tableColumn id="2" xr3:uid="{00000000-0010-0000-0100-000002000000}" name="Column/Row"/>
    <tableColumn id="3" xr3:uid="{00000000-0010-0000-0100-000003000000}" name="Issue Found"/>
    <tableColumn id="4" xr3:uid="{00000000-0010-0000-0100-000004000000}" name="Fix Applied"/>
    <tableColumn id="5" xr3:uid="{00000000-0010-0000-0100-000005000000}" name="Notes/Assumptions"/>
  </tableColumns>
  <tableStyleInfo name="TableStyleLight9" showFirstColumn="0" showLastColumn="0" showRowStripes="1" showColumnStripes="0"/>
</table>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Calibri"/>
        <a:ea typeface="Calibri"/>
        <a:cs typeface="Calibri"/>
      </a:majorFont>
      <a:minorFont>
        <a:latin typeface="Calibri"/>
        <a:ea typeface="Calibri"/>
        <a:cs typeface="Calibri"/>
      </a:minorFont>
    </a:fontScheme>
    <a:fmtScheme name="Office">
      <a:fillStyleLst>
        <a:solidFill>
          <a:schemeClr val="phClr"/>
        </a:solidFill>
        <a:solidFill>
          <a:schemeClr val="dk1"/>
        </a:solidFill>
        <a:solidFill>
          <a:schemeClr val="accent1"/>
        </a:solidFill>
      </a:fillStyleLst>
      <a:lnStyleLst>
        <a:ln w="12700">
          <a:solidFill>
            <a:schemeClr val="phClr"/>
          </a:solidFill>
          <a:prstDash val="solid"/>
        </a:ln>
        <a:ln w="19050">
          <a:solidFill>
            <a:schemeClr val="phClr"/>
          </a:solidFill>
          <a:prstDash val="solid"/>
        </a:ln>
        <a:ln w="25400">
          <a:solidFill>
            <a:schemeClr val="phClr"/>
          </a:solidFill>
          <a:prstDash val="solid"/>
        </a:ln>
      </a:lnStyleLst>
      <a:effectStyleLst>
        <a:effectStyle>
          <a:effectLst/>
        </a:effectStyle>
        <a:effectStyle>
          <a:effectLst/>
        </a:effectStyle>
        <a:effectStyle>
          <a:effectLst>
            <a:outerShdw blurRad="57150" dist="19050" dir="5400000">
              <a:srgbClr val="000000">
                <a:alpha val="63000"/>
              </a:srgbClr>
            </a:outerShdw>
          </a:effectLst>
        </a:effectStyle>
      </a:effectStyleLst>
      <a:bgFillStyleLst>
        <a:solidFill>
          <a:schemeClr val="phClr"/>
        </a:solidFill>
        <a:solidFill>
          <a:schemeClr val="phClr">
            <a:tint val="95000"/>
            <a:satMod val="170000"/>
          </a:schemeClr>
        </a:solidFill>
        <a:gradFill>
          <a:gsLst>
            <a:gs pos="0">
              <a:schemeClr val="phClr">
                <a:tint val="93000"/>
                <a:shade val="98000"/>
                <a:lumMod val="102000"/>
                <a:satMod val="150000"/>
              </a:schemeClr>
            </a:gs>
            <a:gs pos="50000">
              <a:schemeClr val="phClr">
                <a:tint val="98000"/>
                <a:shade val="90000"/>
                <a:lumMod val="103000"/>
                <a:satMod val="130000"/>
              </a:schemeClr>
            </a:gs>
            <a:gs pos="100000">
              <a:schemeClr val="phClr">
                <a:shade val="63000"/>
                <a:satMod val="120000"/>
              </a:schemeClr>
            </a:gs>
          </a:gsLst>
          <a:lin ang="5400000"/>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hyperlink" Target="https://cdn.mobygames.com/screenshots/12490162-mario-kart-8-deluxe-nintendo-switch-initializing-the-game.jpg" TargetMode="Externa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table" Target="../tables/table2.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00B0F0"/>
  </sheetPr>
  <dimension ref="A1:K78"/>
  <sheetViews>
    <sheetView workbookViewId="0"/>
  </sheetViews>
  <sheetFormatPr defaultRowHeight="14.5" x14ac:dyDescent="0.35"/>
  <cols>
    <col min="1" max="1" width="38.453125" customWidth="1"/>
    <col min="5" max="5" width="30.6328125" customWidth="1"/>
    <col min="7" max="7" width="16.453125" customWidth="1"/>
    <col min="10" max="10" width="13" customWidth="1"/>
    <col min="11" max="11" width="28.54296875" customWidth="1"/>
  </cols>
  <sheetData>
    <row r="1" spans="1:11" x14ac:dyDescent="0.35">
      <c r="A1" t="s">
        <v>0</v>
      </c>
      <c r="B1" t="s">
        <v>1</v>
      </c>
      <c r="C1" t="s">
        <v>2</v>
      </c>
      <c r="D1" t="s">
        <v>3</v>
      </c>
      <c r="E1" t="s">
        <v>4</v>
      </c>
      <c r="F1" t="s">
        <v>5</v>
      </c>
      <c r="G1" t="s">
        <v>6</v>
      </c>
      <c r="H1" t="s">
        <v>7</v>
      </c>
      <c r="I1" t="s">
        <v>8</v>
      </c>
      <c r="J1" t="s">
        <v>9</v>
      </c>
      <c r="K1" t="s">
        <v>10</v>
      </c>
    </row>
    <row r="2" spans="1:11" x14ac:dyDescent="0.35">
      <c r="A2" t="s">
        <v>11</v>
      </c>
      <c r="B2" t="s">
        <v>12</v>
      </c>
      <c r="C2" t="s">
        <v>13</v>
      </c>
      <c r="D2" s="1">
        <v>31338</v>
      </c>
      <c r="E2" t="s">
        <v>14</v>
      </c>
      <c r="F2" t="s">
        <v>15</v>
      </c>
      <c r="G2" t="s">
        <v>16</v>
      </c>
      <c r="H2" s="2">
        <v>49.99</v>
      </c>
      <c r="I2" t="s">
        <v>17</v>
      </c>
      <c r="J2" t="s">
        <v>18</v>
      </c>
      <c r="K2" t="s">
        <v>19</v>
      </c>
    </row>
    <row r="3" spans="1:11" x14ac:dyDescent="0.35">
      <c r="A3" t="s">
        <v>20</v>
      </c>
      <c r="B3" t="s">
        <v>12</v>
      </c>
      <c r="C3" t="s">
        <v>21</v>
      </c>
      <c r="D3" t="s">
        <v>22</v>
      </c>
      <c r="E3" t="s">
        <v>14</v>
      </c>
      <c r="F3" s="3">
        <v>40240000</v>
      </c>
      <c r="G3" t="s">
        <v>23</v>
      </c>
      <c r="H3" t="s">
        <v>24</v>
      </c>
      <c r="I3" t="s">
        <v>25</v>
      </c>
      <c r="J3" t="s">
        <v>26</v>
      </c>
      <c r="K3" t="s">
        <v>12</v>
      </c>
    </row>
    <row r="4" spans="1:11" x14ac:dyDescent="0.35">
      <c r="A4" t="s">
        <v>27</v>
      </c>
      <c r="B4" t="s">
        <v>12</v>
      </c>
      <c r="C4" t="s">
        <v>28</v>
      </c>
      <c r="D4" s="1">
        <v>33473</v>
      </c>
      <c r="E4" t="s">
        <v>29</v>
      </c>
      <c r="F4" t="s">
        <v>30</v>
      </c>
      <c r="G4" t="s">
        <v>31</v>
      </c>
      <c r="H4" s="2">
        <v>59.99</v>
      </c>
      <c r="I4" t="s">
        <v>17</v>
      </c>
      <c r="J4" t="s">
        <v>32</v>
      </c>
      <c r="K4" t="s">
        <v>33</v>
      </c>
    </row>
    <row r="5" spans="1:11" x14ac:dyDescent="0.35">
      <c r="A5" t="s">
        <v>34</v>
      </c>
      <c r="B5" t="s">
        <v>12</v>
      </c>
      <c r="C5" t="s">
        <v>35</v>
      </c>
      <c r="D5" s="4">
        <v>33473</v>
      </c>
      <c r="E5" t="s">
        <v>29</v>
      </c>
      <c r="F5" t="s">
        <v>36</v>
      </c>
      <c r="G5" t="s">
        <v>37</v>
      </c>
      <c r="H5" t="s">
        <v>38</v>
      </c>
      <c r="I5" t="s">
        <v>25</v>
      </c>
      <c r="J5" t="s">
        <v>39</v>
      </c>
      <c r="K5" t="s">
        <v>40</v>
      </c>
    </row>
    <row r="6" spans="1:11" x14ac:dyDescent="0.35">
      <c r="A6" t="s">
        <v>41</v>
      </c>
      <c r="B6" t="s">
        <v>12</v>
      </c>
      <c r="C6" t="s">
        <v>42</v>
      </c>
      <c r="D6" s="1">
        <v>35337</v>
      </c>
      <c r="E6" t="s">
        <v>43</v>
      </c>
      <c r="F6" t="s">
        <v>44</v>
      </c>
      <c r="G6" s="5">
        <v>715000000</v>
      </c>
      <c r="H6" s="2">
        <v>59.99</v>
      </c>
      <c r="I6" t="s">
        <v>17</v>
      </c>
      <c r="J6" t="s">
        <v>18</v>
      </c>
      <c r="K6" t="s">
        <v>45</v>
      </c>
    </row>
    <row r="7" spans="1:11" x14ac:dyDescent="0.35">
      <c r="A7" t="s">
        <v>46</v>
      </c>
      <c r="B7" t="s">
        <v>12</v>
      </c>
      <c r="C7" t="s">
        <v>47</v>
      </c>
      <c r="D7" t="s">
        <v>48</v>
      </c>
      <c r="E7" t="s">
        <v>43</v>
      </c>
      <c r="F7" s="3">
        <v>11910000</v>
      </c>
      <c r="G7" t="s">
        <v>49</v>
      </c>
      <c r="H7">
        <v>59.99</v>
      </c>
      <c r="I7" t="s">
        <v>25</v>
      </c>
      <c r="J7" t="s">
        <v>50</v>
      </c>
      <c r="K7" t="s">
        <v>12</v>
      </c>
    </row>
    <row r="8" spans="1:11" x14ac:dyDescent="0.35">
      <c r="A8" t="s">
        <v>51</v>
      </c>
      <c r="B8" t="s">
        <v>12</v>
      </c>
      <c r="C8" t="s">
        <v>52</v>
      </c>
      <c r="D8" s="1">
        <v>37213</v>
      </c>
      <c r="E8" t="s">
        <v>53</v>
      </c>
      <c r="F8" t="s">
        <v>54</v>
      </c>
      <c r="G8" s="5">
        <v>370000000</v>
      </c>
      <c r="H8" s="2">
        <v>49.99</v>
      </c>
      <c r="I8" t="s">
        <v>55</v>
      </c>
      <c r="J8" t="s">
        <v>18</v>
      </c>
      <c r="K8" t="s">
        <v>56</v>
      </c>
    </row>
    <row r="9" spans="1:11" x14ac:dyDescent="0.35">
      <c r="A9" t="s">
        <v>57</v>
      </c>
      <c r="B9" t="s">
        <v>12</v>
      </c>
      <c r="C9" t="s">
        <v>58</v>
      </c>
      <c r="D9" t="s">
        <v>59</v>
      </c>
      <c r="E9" t="s">
        <v>60</v>
      </c>
      <c r="F9" t="s">
        <v>61</v>
      </c>
      <c r="G9" t="s">
        <v>62</v>
      </c>
      <c r="H9" t="s">
        <v>63</v>
      </c>
      <c r="I9" t="s">
        <v>64</v>
      </c>
      <c r="J9" t="s">
        <v>39</v>
      </c>
      <c r="K9" t="s">
        <v>65</v>
      </c>
    </row>
    <row r="10" spans="1:11" x14ac:dyDescent="0.35">
      <c r="A10" t="s">
        <v>66</v>
      </c>
      <c r="B10" t="s">
        <v>12</v>
      </c>
      <c r="C10" t="s">
        <v>67</v>
      </c>
      <c r="D10" s="1">
        <v>39040</v>
      </c>
      <c r="E10" t="s">
        <v>68</v>
      </c>
      <c r="F10" t="s">
        <v>69</v>
      </c>
      <c r="G10" t="s">
        <v>70</v>
      </c>
      <c r="H10" t="s">
        <v>71</v>
      </c>
      <c r="I10" t="s">
        <v>72</v>
      </c>
      <c r="J10" t="s">
        <v>39</v>
      </c>
      <c r="K10" t="s">
        <v>45</v>
      </c>
    </row>
    <row r="11" spans="1:11" x14ac:dyDescent="0.35">
      <c r="A11" t="s">
        <v>73</v>
      </c>
      <c r="B11" t="s">
        <v>12</v>
      </c>
      <c r="C11" t="s">
        <v>74</v>
      </c>
      <c r="D11" s="1">
        <v>41231</v>
      </c>
      <c r="E11" t="s">
        <v>75</v>
      </c>
      <c r="F11" t="s">
        <v>76</v>
      </c>
      <c r="G11" s="5">
        <v>423000000</v>
      </c>
      <c r="H11" s="2">
        <v>59.99</v>
      </c>
      <c r="I11" t="s">
        <v>77</v>
      </c>
      <c r="J11" t="s">
        <v>78</v>
      </c>
      <c r="K11" t="s">
        <v>45</v>
      </c>
    </row>
    <row r="12" spans="1:11" x14ac:dyDescent="0.35">
      <c r="A12" t="s">
        <v>79</v>
      </c>
      <c r="B12" t="s">
        <v>12</v>
      </c>
      <c r="C12" t="s">
        <v>80</v>
      </c>
      <c r="D12" s="4">
        <v>41231</v>
      </c>
      <c r="E12" t="s">
        <v>75</v>
      </c>
      <c r="F12" s="3">
        <v>8460000</v>
      </c>
      <c r="G12" t="s">
        <v>81</v>
      </c>
      <c r="H12" t="s">
        <v>82</v>
      </c>
      <c r="I12" t="s">
        <v>83</v>
      </c>
      <c r="J12" t="s">
        <v>84</v>
      </c>
      <c r="K12" t="s">
        <v>12</v>
      </c>
    </row>
    <row r="13" spans="1:11" x14ac:dyDescent="0.35">
      <c r="A13" t="s">
        <v>85</v>
      </c>
      <c r="B13" t="s">
        <v>12</v>
      </c>
      <c r="C13" t="s">
        <v>74</v>
      </c>
      <c r="D13" s="1">
        <v>42797</v>
      </c>
      <c r="E13" t="s">
        <v>86</v>
      </c>
      <c r="F13" t="s">
        <v>87</v>
      </c>
      <c r="G13" s="5">
        <v>3600000000</v>
      </c>
      <c r="H13" s="2">
        <v>59.99</v>
      </c>
      <c r="I13" t="s">
        <v>77</v>
      </c>
      <c r="J13" t="s">
        <v>39</v>
      </c>
      <c r="K13" t="s">
        <v>88</v>
      </c>
    </row>
    <row r="14" spans="1:11" x14ac:dyDescent="0.35">
      <c r="A14" t="s">
        <v>89</v>
      </c>
      <c r="B14" t="s">
        <v>12</v>
      </c>
      <c r="C14" t="s">
        <v>90</v>
      </c>
      <c r="D14" s="4">
        <v>42797</v>
      </c>
      <c r="E14" t="s">
        <v>86</v>
      </c>
      <c r="F14" t="s">
        <v>91</v>
      </c>
      <c r="G14" t="s">
        <v>92</v>
      </c>
      <c r="H14">
        <v>59.99</v>
      </c>
      <c r="I14" t="s">
        <v>93</v>
      </c>
      <c r="J14" t="s">
        <v>94</v>
      </c>
      <c r="K14" t="s">
        <v>12</v>
      </c>
    </row>
    <row r="15" spans="1:11" x14ac:dyDescent="0.35">
      <c r="A15" t="s">
        <v>95</v>
      </c>
      <c r="B15" t="s">
        <v>12</v>
      </c>
      <c r="C15" t="s">
        <v>74</v>
      </c>
      <c r="D15" s="1">
        <v>44477</v>
      </c>
      <c r="E15" t="s">
        <v>86</v>
      </c>
      <c r="F15" t="s">
        <v>96</v>
      </c>
      <c r="G15" t="s">
        <v>96</v>
      </c>
      <c r="H15" s="2">
        <v>59.99</v>
      </c>
      <c r="I15" t="s">
        <v>77</v>
      </c>
      <c r="J15" t="s">
        <v>39</v>
      </c>
      <c r="K15" t="s">
        <v>12</v>
      </c>
    </row>
    <row r="16" spans="1:11" x14ac:dyDescent="0.35">
      <c r="A16" t="s">
        <v>97</v>
      </c>
      <c r="B16" t="s">
        <v>12</v>
      </c>
      <c r="C16" t="s">
        <v>98</v>
      </c>
      <c r="D16" s="1">
        <v>32720</v>
      </c>
      <c r="E16" t="s">
        <v>99</v>
      </c>
      <c r="F16" t="s">
        <v>100</v>
      </c>
      <c r="G16" s="5">
        <v>875000000</v>
      </c>
      <c r="H16" s="2">
        <v>29.99</v>
      </c>
      <c r="I16" t="s">
        <v>101</v>
      </c>
      <c r="J16" t="s">
        <v>102</v>
      </c>
      <c r="K16" t="s">
        <v>103</v>
      </c>
    </row>
    <row r="17" spans="1:11" x14ac:dyDescent="0.35">
      <c r="A17" t="s">
        <v>104</v>
      </c>
      <c r="B17" t="s">
        <v>12</v>
      </c>
      <c r="C17" t="s">
        <v>105</v>
      </c>
      <c r="D17" s="4">
        <v>32720</v>
      </c>
      <c r="E17" t="s">
        <v>106</v>
      </c>
      <c r="F17" s="3">
        <v>35000000</v>
      </c>
      <c r="G17" t="s">
        <v>107</v>
      </c>
      <c r="H17">
        <v>29.99</v>
      </c>
      <c r="I17" t="s">
        <v>108</v>
      </c>
      <c r="J17" t="s">
        <v>109</v>
      </c>
      <c r="K17" t="s">
        <v>110</v>
      </c>
    </row>
    <row r="18" spans="1:11" x14ac:dyDescent="0.35">
      <c r="A18" t="s">
        <v>111</v>
      </c>
      <c r="B18" t="s">
        <v>12</v>
      </c>
      <c r="C18" t="s">
        <v>112</v>
      </c>
      <c r="D18" s="1">
        <v>37053</v>
      </c>
      <c r="E18" t="s">
        <v>113</v>
      </c>
      <c r="F18" t="s">
        <v>114</v>
      </c>
      <c r="G18" s="5">
        <v>810000000</v>
      </c>
      <c r="H18" s="2">
        <v>34.99</v>
      </c>
      <c r="I18" t="s">
        <v>115</v>
      </c>
      <c r="J18" t="s">
        <v>116</v>
      </c>
      <c r="K18" t="s">
        <v>117</v>
      </c>
    </row>
    <row r="19" spans="1:11" x14ac:dyDescent="0.35">
      <c r="A19" t="s">
        <v>118</v>
      </c>
      <c r="B19" t="s">
        <v>12</v>
      </c>
      <c r="C19" t="s">
        <v>119</v>
      </c>
      <c r="D19" t="s">
        <v>120</v>
      </c>
      <c r="E19" t="s">
        <v>121</v>
      </c>
      <c r="F19" s="3">
        <v>16200000</v>
      </c>
      <c r="G19" t="s">
        <v>122</v>
      </c>
      <c r="H19" t="s">
        <v>123</v>
      </c>
      <c r="I19" t="s">
        <v>124</v>
      </c>
      <c r="J19" t="s">
        <v>39</v>
      </c>
      <c r="K19" t="s">
        <v>125</v>
      </c>
    </row>
    <row r="20" spans="1:11" x14ac:dyDescent="0.35">
      <c r="A20" t="s">
        <v>126</v>
      </c>
      <c r="B20" t="s">
        <v>12</v>
      </c>
      <c r="C20" t="s">
        <v>127</v>
      </c>
      <c r="D20" s="1">
        <v>38312</v>
      </c>
      <c r="E20" t="s">
        <v>128</v>
      </c>
      <c r="F20" t="s">
        <v>129</v>
      </c>
      <c r="G20" s="5">
        <v>956000000</v>
      </c>
      <c r="H20" s="2">
        <v>29.99</v>
      </c>
      <c r="I20" t="s">
        <v>130</v>
      </c>
      <c r="J20" t="s">
        <v>78</v>
      </c>
      <c r="K20" t="s">
        <v>45</v>
      </c>
    </row>
    <row r="21" spans="1:11" x14ac:dyDescent="0.35">
      <c r="A21" t="s">
        <v>131</v>
      </c>
      <c r="B21" t="s">
        <v>12</v>
      </c>
      <c r="C21" t="s">
        <v>132</v>
      </c>
      <c r="D21" s="4">
        <v>38312</v>
      </c>
      <c r="E21" t="s">
        <v>128</v>
      </c>
      <c r="F21" s="3">
        <v>23900000</v>
      </c>
      <c r="G21" t="s">
        <v>133</v>
      </c>
      <c r="H21" t="s">
        <v>134</v>
      </c>
      <c r="I21" t="s">
        <v>135</v>
      </c>
      <c r="J21" t="s">
        <v>84</v>
      </c>
      <c r="K21" t="s">
        <v>12</v>
      </c>
    </row>
    <row r="22" spans="1:11" x14ac:dyDescent="0.35">
      <c r="A22" t="s">
        <v>136</v>
      </c>
      <c r="B22" t="s">
        <v>12</v>
      </c>
      <c r="C22" t="s">
        <v>137</v>
      </c>
      <c r="D22" s="1">
        <v>40601</v>
      </c>
      <c r="E22" t="s">
        <v>138</v>
      </c>
      <c r="F22" t="s">
        <v>139</v>
      </c>
      <c r="G22" s="5">
        <v>945000000</v>
      </c>
      <c r="H22" s="2">
        <v>39.99</v>
      </c>
      <c r="I22" t="s">
        <v>77</v>
      </c>
      <c r="J22" t="s">
        <v>18</v>
      </c>
      <c r="K22" t="s">
        <v>45</v>
      </c>
    </row>
    <row r="23" spans="1:11" x14ac:dyDescent="0.35">
      <c r="A23" t="s">
        <v>140</v>
      </c>
      <c r="B23" t="s">
        <v>12</v>
      </c>
      <c r="C23" t="s">
        <v>141</v>
      </c>
      <c r="D23" s="4">
        <v>40601</v>
      </c>
      <c r="E23" t="s">
        <v>138</v>
      </c>
      <c r="F23" t="s">
        <v>142</v>
      </c>
      <c r="G23" t="s">
        <v>143</v>
      </c>
      <c r="H23">
        <v>39.99</v>
      </c>
      <c r="I23" t="s">
        <v>77</v>
      </c>
      <c r="J23" t="s">
        <v>39</v>
      </c>
      <c r="K23" t="s">
        <v>12</v>
      </c>
    </row>
    <row r="24" spans="1:11" x14ac:dyDescent="0.35">
      <c r="A24" t="s">
        <v>144</v>
      </c>
      <c r="B24" t="s">
        <v>145</v>
      </c>
      <c r="C24" t="s">
        <v>42</v>
      </c>
      <c r="D24" s="1">
        <v>34951</v>
      </c>
      <c r="E24" t="s">
        <v>146</v>
      </c>
      <c r="F24" t="s">
        <v>147</v>
      </c>
      <c r="G24" s="5">
        <v>542500000</v>
      </c>
      <c r="H24" s="2">
        <v>49.99</v>
      </c>
      <c r="I24" t="s">
        <v>77</v>
      </c>
      <c r="J24" t="s">
        <v>102</v>
      </c>
      <c r="K24" t="s">
        <v>148</v>
      </c>
    </row>
    <row r="25" spans="1:11" x14ac:dyDescent="0.35">
      <c r="A25" t="s">
        <v>149</v>
      </c>
      <c r="B25" t="s">
        <v>145</v>
      </c>
      <c r="C25" t="s">
        <v>47</v>
      </c>
      <c r="D25" s="1">
        <v>34951</v>
      </c>
      <c r="E25" t="s">
        <v>146</v>
      </c>
      <c r="F25" s="3">
        <v>10850000</v>
      </c>
      <c r="G25" t="s">
        <v>150</v>
      </c>
      <c r="H25">
        <v>49.99</v>
      </c>
      <c r="I25" t="s">
        <v>151</v>
      </c>
      <c r="J25" t="s">
        <v>109</v>
      </c>
      <c r="K25" t="s">
        <v>152</v>
      </c>
    </row>
    <row r="26" spans="1:11" x14ac:dyDescent="0.35">
      <c r="A26" t="s">
        <v>153</v>
      </c>
      <c r="B26" t="s">
        <v>145</v>
      </c>
      <c r="C26" t="s">
        <v>154</v>
      </c>
      <c r="D26" t="s">
        <v>155</v>
      </c>
      <c r="E26" t="s">
        <v>146</v>
      </c>
      <c r="F26" t="s">
        <v>156</v>
      </c>
      <c r="G26" t="s">
        <v>157</v>
      </c>
      <c r="H26" s="2">
        <v>49.99</v>
      </c>
      <c r="I26" t="s">
        <v>158</v>
      </c>
      <c r="J26" t="s">
        <v>39</v>
      </c>
      <c r="K26" t="s">
        <v>159</v>
      </c>
    </row>
    <row r="27" spans="1:11" x14ac:dyDescent="0.35">
      <c r="A27" t="s">
        <v>160</v>
      </c>
      <c r="B27" t="s">
        <v>145</v>
      </c>
      <c r="C27" t="s">
        <v>52</v>
      </c>
      <c r="D27" s="1">
        <v>36825</v>
      </c>
      <c r="E27" t="s">
        <v>161</v>
      </c>
      <c r="F27" t="s">
        <v>162</v>
      </c>
      <c r="G27" s="5">
        <v>865000000</v>
      </c>
      <c r="H27" s="2">
        <v>49.99</v>
      </c>
      <c r="I27" t="s">
        <v>163</v>
      </c>
      <c r="J27" t="s">
        <v>18</v>
      </c>
      <c r="K27" t="s">
        <v>164</v>
      </c>
    </row>
    <row r="28" spans="1:11" x14ac:dyDescent="0.35">
      <c r="A28" t="s">
        <v>165</v>
      </c>
      <c r="B28" t="s">
        <v>145</v>
      </c>
      <c r="C28" t="s">
        <v>58</v>
      </c>
      <c r="D28" s="4">
        <v>36825</v>
      </c>
      <c r="E28" t="s">
        <v>166</v>
      </c>
      <c r="F28" s="3">
        <v>17300000</v>
      </c>
      <c r="G28" t="s">
        <v>167</v>
      </c>
      <c r="H28" t="s">
        <v>168</v>
      </c>
      <c r="I28" t="s">
        <v>169</v>
      </c>
      <c r="J28" t="s">
        <v>26</v>
      </c>
      <c r="K28" t="s">
        <v>170</v>
      </c>
    </row>
    <row r="29" spans="1:11" x14ac:dyDescent="0.35">
      <c r="A29" t="s">
        <v>171</v>
      </c>
      <c r="B29" t="s">
        <v>145</v>
      </c>
      <c r="C29">
        <v>6</v>
      </c>
      <c r="D29" t="s">
        <v>172</v>
      </c>
      <c r="E29" t="s">
        <v>173</v>
      </c>
      <c r="F29" t="s">
        <v>174</v>
      </c>
      <c r="G29" t="s">
        <v>175</v>
      </c>
      <c r="H29">
        <v>49.99</v>
      </c>
      <c r="I29" t="s">
        <v>176</v>
      </c>
      <c r="J29" t="s">
        <v>39</v>
      </c>
      <c r="K29" t="s">
        <v>177</v>
      </c>
    </row>
    <row r="30" spans="1:11" x14ac:dyDescent="0.35">
      <c r="A30" t="s">
        <v>178</v>
      </c>
      <c r="B30" t="s">
        <v>145</v>
      </c>
      <c r="C30" t="s">
        <v>67</v>
      </c>
      <c r="D30" s="1">
        <v>39038</v>
      </c>
      <c r="E30" t="s">
        <v>179</v>
      </c>
      <c r="F30" t="s">
        <v>180</v>
      </c>
      <c r="G30" t="s">
        <v>181</v>
      </c>
      <c r="H30" s="2">
        <v>59.99</v>
      </c>
      <c r="I30" t="s">
        <v>169</v>
      </c>
      <c r="J30" t="s">
        <v>39</v>
      </c>
      <c r="K30" t="s">
        <v>164</v>
      </c>
    </row>
    <row r="31" spans="1:11" x14ac:dyDescent="0.35">
      <c r="A31" t="s">
        <v>182</v>
      </c>
      <c r="B31" t="s">
        <v>145</v>
      </c>
      <c r="C31" t="s">
        <v>183</v>
      </c>
      <c r="D31" s="4">
        <v>39038</v>
      </c>
      <c r="E31" t="s">
        <v>184</v>
      </c>
      <c r="F31" t="s">
        <v>185</v>
      </c>
      <c r="G31" t="s">
        <v>186</v>
      </c>
      <c r="H31">
        <v>59.99</v>
      </c>
      <c r="I31" t="s">
        <v>163</v>
      </c>
      <c r="J31" t="s">
        <v>94</v>
      </c>
      <c r="K31" t="s">
        <v>187</v>
      </c>
    </row>
    <row r="32" spans="1:11" x14ac:dyDescent="0.35">
      <c r="A32" t="s">
        <v>188</v>
      </c>
      <c r="B32" t="s">
        <v>145</v>
      </c>
      <c r="C32" t="s">
        <v>74</v>
      </c>
      <c r="D32" s="1">
        <v>41593</v>
      </c>
      <c r="E32" t="s">
        <v>189</v>
      </c>
      <c r="F32" t="s">
        <v>30</v>
      </c>
      <c r="G32" t="s">
        <v>190</v>
      </c>
      <c r="H32" s="2">
        <v>59.99</v>
      </c>
      <c r="I32" t="s">
        <v>163</v>
      </c>
      <c r="J32" t="s">
        <v>32</v>
      </c>
      <c r="K32" t="s">
        <v>191</v>
      </c>
    </row>
    <row r="33" spans="1:11" x14ac:dyDescent="0.35">
      <c r="A33" t="s">
        <v>192</v>
      </c>
      <c r="B33" t="s">
        <v>145</v>
      </c>
      <c r="C33" t="s">
        <v>90</v>
      </c>
      <c r="D33" t="s">
        <v>193</v>
      </c>
      <c r="E33" t="s">
        <v>194</v>
      </c>
      <c r="F33" s="3">
        <v>20000000</v>
      </c>
      <c r="G33" t="s">
        <v>195</v>
      </c>
      <c r="H33" t="s">
        <v>196</v>
      </c>
      <c r="I33" t="s">
        <v>169</v>
      </c>
      <c r="J33" t="s">
        <v>39</v>
      </c>
      <c r="K33" t="s">
        <v>197</v>
      </c>
    </row>
    <row r="34" spans="1:11" x14ac:dyDescent="0.35">
      <c r="A34" t="s">
        <v>198</v>
      </c>
      <c r="B34" t="s">
        <v>145</v>
      </c>
      <c r="C34" t="s">
        <v>74</v>
      </c>
      <c r="D34" s="1">
        <v>42684</v>
      </c>
      <c r="E34" t="s">
        <v>189</v>
      </c>
      <c r="F34" t="s">
        <v>199</v>
      </c>
      <c r="G34" t="s">
        <v>96</v>
      </c>
      <c r="H34" s="2">
        <v>59.99</v>
      </c>
      <c r="I34" t="s">
        <v>163</v>
      </c>
      <c r="J34" t="s">
        <v>39</v>
      </c>
      <c r="K34" t="s">
        <v>200</v>
      </c>
    </row>
    <row r="35" spans="1:11" x14ac:dyDescent="0.35">
      <c r="A35" t="s">
        <v>201</v>
      </c>
      <c r="B35" t="s">
        <v>145</v>
      </c>
      <c r="C35" t="s">
        <v>202</v>
      </c>
      <c r="D35" s="1">
        <v>44147</v>
      </c>
      <c r="E35" t="s">
        <v>203</v>
      </c>
      <c r="F35" t="s">
        <v>204</v>
      </c>
      <c r="G35" s="5">
        <v>770000000</v>
      </c>
      <c r="H35" s="2">
        <v>69.989999999999995</v>
      </c>
      <c r="I35" t="s">
        <v>163</v>
      </c>
      <c r="J35" t="s">
        <v>18</v>
      </c>
      <c r="K35" t="s">
        <v>191</v>
      </c>
    </row>
    <row r="36" spans="1:11" x14ac:dyDescent="0.35">
      <c r="A36" t="s">
        <v>205</v>
      </c>
      <c r="B36" t="s">
        <v>145</v>
      </c>
      <c r="C36" t="s">
        <v>206</v>
      </c>
      <c r="D36" t="s">
        <v>207</v>
      </c>
      <c r="E36" t="s">
        <v>208</v>
      </c>
      <c r="F36" s="3">
        <v>11000000</v>
      </c>
      <c r="G36" t="s">
        <v>209</v>
      </c>
      <c r="H36">
        <v>69.989999999999995</v>
      </c>
      <c r="I36" t="s">
        <v>169</v>
      </c>
      <c r="J36" t="s">
        <v>26</v>
      </c>
      <c r="K36" t="s">
        <v>197</v>
      </c>
    </row>
    <row r="37" spans="1:11" x14ac:dyDescent="0.35">
      <c r="A37" t="s">
        <v>210</v>
      </c>
      <c r="B37" t="s">
        <v>145</v>
      </c>
      <c r="C37" t="s">
        <v>127</v>
      </c>
      <c r="D37" s="1">
        <v>38435</v>
      </c>
      <c r="E37" t="s">
        <v>211</v>
      </c>
      <c r="F37" t="s">
        <v>212</v>
      </c>
      <c r="G37" s="5">
        <v>320000000</v>
      </c>
      <c r="H37" s="2">
        <v>49.99</v>
      </c>
      <c r="I37" t="s">
        <v>163</v>
      </c>
      <c r="J37" t="s">
        <v>18</v>
      </c>
      <c r="K37" t="s">
        <v>213</v>
      </c>
    </row>
    <row r="38" spans="1:11" x14ac:dyDescent="0.35">
      <c r="A38" t="s">
        <v>214</v>
      </c>
      <c r="B38" t="s">
        <v>145</v>
      </c>
      <c r="C38" t="s">
        <v>215</v>
      </c>
      <c r="D38" s="4">
        <v>38435</v>
      </c>
      <c r="E38" t="s">
        <v>216</v>
      </c>
      <c r="F38" s="3">
        <v>8000000</v>
      </c>
      <c r="G38" t="s">
        <v>217</v>
      </c>
      <c r="H38" t="s">
        <v>218</v>
      </c>
      <c r="I38" t="s">
        <v>219</v>
      </c>
      <c r="J38" t="s">
        <v>39</v>
      </c>
      <c r="K38" t="s">
        <v>187</v>
      </c>
    </row>
    <row r="39" spans="1:11" x14ac:dyDescent="0.35">
      <c r="A39" t="s">
        <v>220</v>
      </c>
      <c r="B39" t="s">
        <v>145</v>
      </c>
      <c r="C39" t="s">
        <v>137</v>
      </c>
      <c r="D39" s="1">
        <v>40961</v>
      </c>
      <c r="E39" t="s">
        <v>221</v>
      </c>
      <c r="F39" t="s">
        <v>222</v>
      </c>
      <c r="G39" s="5">
        <v>65000000</v>
      </c>
      <c r="H39" s="2">
        <v>49.99</v>
      </c>
      <c r="I39" t="s">
        <v>163</v>
      </c>
      <c r="J39" t="s">
        <v>78</v>
      </c>
      <c r="K39" t="s">
        <v>223</v>
      </c>
    </row>
    <row r="40" spans="1:11" x14ac:dyDescent="0.35">
      <c r="A40" t="s">
        <v>224</v>
      </c>
      <c r="B40" t="s">
        <v>145</v>
      </c>
      <c r="C40" t="s">
        <v>225</v>
      </c>
      <c r="D40" s="4">
        <v>40961</v>
      </c>
      <c r="E40" t="s">
        <v>226</v>
      </c>
      <c r="F40" s="3">
        <v>1300000</v>
      </c>
      <c r="G40" t="s">
        <v>227</v>
      </c>
      <c r="H40" t="s">
        <v>228</v>
      </c>
      <c r="I40" t="s">
        <v>229</v>
      </c>
      <c r="J40" t="s">
        <v>84</v>
      </c>
      <c r="K40" t="s">
        <v>230</v>
      </c>
    </row>
    <row r="41" spans="1:11" x14ac:dyDescent="0.35">
      <c r="A41" t="s">
        <v>231</v>
      </c>
      <c r="B41" t="s">
        <v>232</v>
      </c>
      <c r="C41" t="s">
        <v>52</v>
      </c>
      <c r="D41" s="1">
        <v>37210</v>
      </c>
      <c r="E41" t="s">
        <v>233</v>
      </c>
      <c r="F41" t="s">
        <v>234</v>
      </c>
      <c r="G41" s="5">
        <v>250000000</v>
      </c>
      <c r="H41" s="2">
        <v>49.99</v>
      </c>
      <c r="I41" t="s">
        <v>235</v>
      </c>
      <c r="J41" t="s">
        <v>18</v>
      </c>
      <c r="K41" t="s">
        <v>236</v>
      </c>
    </row>
    <row r="42" spans="1:11" x14ac:dyDescent="0.35">
      <c r="A42" t="s">
        <v>237</v>
      </c>
      <c r="B42" t="s">
        <v>232</v>
      </c>
      <c r="C42" t="s">
        <v>238</v>
      </c>
      <c r="D42" t="s">
        <v>239</v>
      </c>
      <c r="E42" t="s">
        <v>240</v>
      </c>
      <c r="F42" s="3">
        <v>5000000</v>
      </c>
      <c r="G42" t="s">
        <v>241</v>
      </c>
      <c r="H42">
        <v>49.99</v>
      </c>
      <c r="I42" t="s">
        <v>242</v>
      </c>
      <c r="J42" t="s">
        <v>26</v>
      </c>
      <c r="K42" t="s">
        <v>243</v>
      </c>
    </row>
    <row r="43" spans="1:11" x14ac:dyDescent="0.35">
      <c r="A43" t="s">
        <v>244</v>
      </c>
      <c r="B43" t="s">
        <v>232</v>
      </c>
      <c r="C43" t="s">
        <v>67</v>
      </c>
      <c r="D43" s="1">
        <v>38678</v>
      </c>
      <c r="E43" t="s">
        <v>245</v>
      </c>
      <c r="F43" t="s">
        <v>246</v>
      </c>
      <c r="G43" s="5">
        <v>960000000</v>
      </c>
      <c r="H43" t="s">
        <v>247</v>
      </c>
      <c r="I43" t="s">
        <v>248</v>
      </c>
      <c r="J43" t="s">
        <v>39</v>
      </c>
      <c r="K43" t="s">
        <v>249</v>
      </c>
    </row>
    <row r="44" spans="1:11" x14ac:dyDescent="0.35">
      <c r="A44" t="s">
        <v>250</v>
      </c>
      <c r="B44" t="s">
        <v>251</v>
      </c>
      <c r="C44" t="s">
        <v>183</v>
      </c>
      <c r="D44" s="4">
        <v>38678</v>
      </c>
      <c r="E44" t="s">
        <v>252</v>
      </c>
      <c r="F44" s="3">
        <v>24000000</v>
      </c>
      <c r="G44" t="s">
        <v>253</v>
      </c>
      <c r="H44" t="s">
        <v>254</v>
      </c>
      <c r="I44" t="s">
        <v>255</v>
      </c>
      <c r="J44" t="s">
        <v>94</v>
      </c>
      <c r="K44" t="s">
        <v>256</v>
      </c>
    </row>
    <row r="45" spans="1:11" x14ac:dyDescent="0.35">
      <c r="A45" t="s">
        <v>257</v>
      </c>
      <c r="B45" t="s">
        <v>232</v>
      </c>
      <c r="C45" t="s">
        <v>74</v>
      </c>
      <c r="D45" s="1">
        <v>41600</v>
      </c>
      <c r="E45" t="s">
        <v>258</v>
      </c>
      <c r="F45" t="s">
        <v>259</v>
      </c>
      <c r="G45" s="5">
        <v>270000000</v>
      </c>
      <c r="H45" s="2">
        <v>29.99</v>
      </c>
      <c r="I45" t="s">
        <v>235</v>
      </c>
      <c r="J45" t="s">
        <v>18</v>
      </c>
      <c r="K45" t="s">
        <v>260</v>
      </c>
    </row>
    <row r="46" spans="1:11" x14ac:dyDescent="0.35">
      <c r="A46" t="s">
        <v>261</v>
      </c>
      <c r="B46" t="s">
        <v>232</v>
      </c>
      <c r="C46" t="s">
        <v>90</v>
      </c>
      <c r="D46" s="4">
        <v>41600</v>
      </c>
      <c r="E46" t="s">
        <v>262</v>
      </c>
      <c r="F46" s="3">
        <v>9000000</v>
      </c>
      <c r="G46" t="s">
        <v>263</v>
      </c>
      <c r="H46">
        <v>29.99</v>
      </c>
      <c r="I46" t="s">
        <v>264</v>
      </c>
      <c r="J46" t="s">
        <v>26</v>
      </c>
      <c r="K46" t="s">
        <v>265</v>
      </c>
    </row>
    <row r="47" spans="1:11" x14ac:dyDescent="0.35">
      <c r="A47" t="s">
        <v>266</v>
      </c>
      <c r="B47" t="s">
        <v>232</v>
      </c>
      <c r="C47" t="s">
        <v>74</v>
      </c>
      <c r="D47" s="1">
        <v>42584</v>
      </c>
      <c r="E47" t="s">
        <v>267</v>
      </c>
      <c r="F47" t="s">
        <v>180</v>
      </c>
      <c r="G47" t="s">
        <v>180</v>
      </c>
      <c r="H47" s="2">
        <v>19.989999999999998</v>
      </c>
      <c r="I47" t="s">
        <v>268</v>
      </c>
      <c r="J47" t="s">
        <v>39</v>
      </c>
      <c r="K47" t="s">
        <v>269</v>
      </c>
    </row>
    <row r="48" spans="1:11" x14ac:dyDescent="0.35">
      <c r="A48" t="s">
        <v>270</v>
      </c>
      <c r="B48" t="s">
        <v>232</v>
      </c>
      <c r="C48" t="s">
        <v>202</v>
      </c>
      <c r="D48" s="1">
        <v>44145</v>
      </c>
      <c r="E48" t="s">
        <v>271</v>
      </c>
      <c r="F48" t="s">
        <v>272</v>
      </c>
      <c r="G48" s="5">
        <v>455000000</v>
      </c>
      <c r="H48" s="2">
        <v>69.989999999999995</v>
      </c>
      <c r="I48" t="s">
        <v>235</v>
      </c>
      <c r="J48" t="s">
        <v>32</v>
      </c>
      <c r="K48" t="s">
        <v>273</v>
      </c>
    </row>
    <row r="49" spans="1:11" x14ac:dyDescent="0.35">
      <c r="A49" t="s">
        <v>274</v>
      </c>
      <c r="B49" t="s">
        <v>232</v>
      </c>
      <c r="C49" t="s">
        <v>275</v>
      </c>
      <c r="D49" s="4">
        <v>44145</v>
      </c>
      <c r="E49" t="s">
        <v>276</v>
      </c>
      <c r="F49" s="3">
        <v>6500000</v>
      </c>
      <c r="G49" t="s">
        <v>277</v>
      </c>
      <c r="H49" t="s">
        <v>278</v>
      </c>
      <c r="I49" t="s">
        <v>279</v>
      </c>
      <c r="J49" t="s">
        <v>39</v>
      </c>
      <c r="K49" t="s">
        <v>280</v>
      </c>
    </row>
    <row r="50" spans="1:11" x14ac:dyDescent="0.35">
      <c r="A50" t="s">
        <v>281</v>
      </c>
      <c r="B50" t="s">
        <v>282</v>
      </c>
      <c r="C50" t="s">
        <v>28</v>
      </c>
      <c r="D50" s="1">
        <v>32734</v>
      </c>
      <c r="E50" t="s">
        <v>283</v>
      </c>
      <c r="F50" t="s">
        <v>284</v>
      </c>
      <c r="G50" s="5">
        <v>450000000</v>
      </c>
      <c r="H50" s="2">
        <v>49.99</v>
      </c>
      <c r="I50" t="s">
        <v>17</v>
      </c>
      <c r="J50" t="s">
        <v>18</v>
      </c>
      <c r="K50" t="s">
        <v>285</v>
      </c>
    </row>
    <row r="51" spans="1:11" x14ac:dyDescent="0.35">
      <c r="A51" t="s">
        <v>286</v>
      </c>
      <c r="B51" t="s">
        <v>287</v>
      </c>
      <c r="C51" t="s">
        <v>35</v>
      </c>
      <c r="D51" s="4">
        <v>32734</v>
      </c>
      <c r="E51" t="s">
        <v>283</v>
      </c>
      <c r="F51" s="3">
        <v>15000000</v>
      </c>
      <c r="G51" t="s">
        <v>288</v>
      </c>
      <c r="H51" t="s">
        <v>289</v>
      </c>
      <c r="I51" t="s">
        <v>25</v>
      </c>
      <c r="J51" t="s">
        <v>84</v>
      </c>
      <c r="K51" t="s">
        <v>282</v>
      </c>
    </row>
    <row r="52" spans="1:11" x14ac:dyDescent="0.35">
      <c r="A52" t="s">
        <v>290</v>
      </c>
      <c r="B52" t="s">
        <v>282</v>
      </c>
      <c r="C52" t="s">
        <v>13</v>
      </c>
      <c r="D52" s="1">
        <v>31656</v>
      </c>
      <c r="E52" t="s">
        <v>291</v>
      </c>
      <c r="F52" t="s">
        <v>292</v>
      </c>
      <c r="G52" t="s">
        <v>96</v>
      </c>
      <c r="H52" s="2">
        <v>49.99</v>
      </c>
      <c r="I52" t="s">
        <v>17</v>
      </c>
      <c r="J52" t="s">
        <v>78</v>
      </c>
      <c r="K52" t="s">
        <v>282</v>
      </c>
    </row>
    <row r="53" spans="1:11" x14ac:dyDescent="0.35">
      <c r="A53" t="s">
        <v>293</v>
      </c>
      <c r="B53" t="s">
        <v>282</v>
      </c>
      <c r="C53" t="s">
        <v>42</v>
      </c>
      <c r="D53" s="1">
        <v>34830</v>
      </c>
      <c r="E53" t="s">
        <v>294</v>
      </c>
      <c r="F53" t="s">
        <v>295</v>
      </c>
      <c r="G53" s="5">
        <v>85000000</v>
      </c>
      <c r="H53" s="2">
        <v>49.99</v>
      </c>
      <c r="I53" t="s">
        <v>55</v>
      </c>
      <c r="J53" t="s">
        <v>102</v>
      </c>
      <c r="K53" t="s">
        <v>296</v>
      </c>
    </row>
    <row r="54" spans="1:11" x14ac:dyDescent="0.35">
      <c r="A54" t="s">
        <v>297</v>
      </c>
      <c r="B54" t="s">
        <v>282</v>
      </c>
      <c r="C54" t="s">
        <v>47</v>
      </c>
      <c r="D54" s="4">
        <v>34830</v>
      </c>
      <c r="E54" t="s">
        <v>294</v>
      </c>
      <c r="F54" s="3">
        <v>1700000</v>
      </c>
      <c r="G54" t="s">
        <v>298</v>
      </c>
      <c r="H54">
        <v>49.99</v>
      </c>
      <c r="I54" t="s">
        <v>64</v>
      </c>
      <c r="J54" t="s">
        <v>109</v>
      </c>
      <c r="K54" t="s">
        <v>282</v>
      </c>
    </row>
    <row r="55" spans="1:11" x14ac:dyDescent="0.35">
      <c r="A55" t="s">
        <v>299</v>
      </c>
      <c r="B55" t="s">
        <v>282</v>
      </c>
      <c r="C55" t="s">
        <v>52</v>
      </c>
      <c r="D55" s="1">
        <v>36412</v>
      </c>
      <c r="E55" t="s">
        <v>300</v>
      </c>
      <c r="F55" t="s">
        <v>301</v>
      </c>
      <c r="G55" s="5">
        <v>125000000</v>
      </c>
      <c r="H55" s="2">
        <v>49.99</v>
      </c>
      <c r="I55" t="s">
        <v>163</v>
      </c>
      <c r="J55" t="s">
        <v>302</v>
      </c>
      <c r="K55" t="s">
        <v>285</v>
      </c>
    </row>
    <row r="56" spans="1:11" x14ac:dyDescent="0.35">
      <c r="A56" t="s">
        <v>303</v>
      </c>
      <c r="B56" t="s">
        <v>282</v>
      </c>
      <c r="C56" t="s">
        <v>238</v>
      </c>
      <c r="D56" s="1">
        <v>36412</v>
      </c>
      <c r="E56" t="s">
        <v>300</v>
      </c>
      <c r="F56" s="3">
        <v>2500000</v>
      </c>
      <c r="G56" t="s">
        <v>304</v>
      </c>
      <c r="H56" t="s">
        <v>218</v>
      </c>
      <c r="I56" t="s">
        <v>305</v>
      </c>
      <c r="J56" t="s">
        <v>39</v>
      </c>
      <c r="K56" t="s">
        <v>282</v>
      </c>
    </row>
    <row r="57" spans="1:11" x14ac:dyDescent="0.35">
      <c r="A57" t="s">
        <v>306</v>
      </c>
      <c r="B57" t="s">
        <v>282</v>
      </c>
      <c r="C57" t="s">
        <v>98</v>
      </c>
      <c r="D57" s="1">
        <v>33356</v>
      </c>
      <c r="E57" t="s">
        <v>307</v>
      </c>
      <c r="F57" t="s">
        <v>308</v>
      </c>
      <c r="G57" s="5">
        <v>81000000</v>
      </c>
      <c r="H57" s="2">
        <v>29.99</v>
      </c>
      <c r="I57" t="s">
        <v>17</v>
      </c>
      <c r="J57" t="s">
        <v>78</v>
      </c>
      <c r="K57" t="s">
        <v>309</v>
      </c>
    </row>
    <row r="58" spans="1:11" x14ac:dyDescent="0.35">
      <c r="A58" t="s">
        <v>310</v>
      </c>
      <c r="B58" t="s">
        <v>282</v>
      </c>
      <c r="C58" t="s">
        <v>105</v>
      </c>
      <c r="D58" s="4">
        <v>33356</v>
      </c>
      <c r="E58" t="s">
        <v>283</v>
      </c>
      <c r="F58" s="3">
        <v>2700000</v>
      </c>
      <c r="G58" t="s">
        <v>311</v>
      </c>
      <c r="H58">
        <v>29.99</v>
      </c>
      <c r="I58" t="s">
        <v>25</v>
      </c>
      <c r="J58" t="s">
        <v>84</v>
      </c>
      <c r="K58" t="s">
        <v>282</v>
      </c>
    </row>
    <row r="59" spans="1:11" x14ac:dyDescent="0.35">
      <c r="A59" t="s">
        <v>312</v>
      </c>
      <c r="B59" t="s">
        <v>145</v>
      </c>
      <c r="C59" t="s">
        <v>42</v>
      </c>
      <c r="D59" s="1">
        <v>36798</v>
      </c>
      <c r="E59" t="s">
        <v>313</v>
      </c>
      <c r="F59" t="s">
        <v>314</v>
      </c>
      <c r="G59" s="5">
        <v>465000000</v>
      </c>
      <c r="H59" s="2">
        <v>49.99</v>
      </c>
      <c r="I59" t="s">
        <v>77</v>
      </c>
      <c r="J59" t="s">
        <v>78</v>
      </c>
      <c r="K59" t="s">
        <v>148</v>
      </c>
    </row>
    <row r="60" spans="1:11" x14ac:dyDescent="0.35">
      <c r="A60" t="s">
        <v>315</v>
      </c>
      <c r="B60" t="s">
        <v>145</v>
      </c>
      <c r="C60" t="s">
        <v>52</v>
      </c>
      <c r="D60" s="1">
        <v>38292</v>
      </c>
      <c r="E60" t="s">
        <v>166</v>
      </c>
      <c r="F60" t="s">
        <v>162</v>
      </c>
      <c r="G60" s="5">
        <v>865000000</v>
      </c>
      <c r="H60">
        <v>49.99</v>
      </c>
      <c r="I60" t="s">
        <v>163</v>
      </c>
      <c r="J60" t="s">
        <v>39</v>
      </c>
      <c r="K60" t="s">
        <v>316</v>
      </c>
    </row>
    <row r="61" spans="1:11" x14ac:dyDescent="0.35">
      <c r="A61" t="s">
        <v>317</v>
      </c>
      <c r="B61" t="s">
        <v>145</v>
      </c>
      <c r="C61" t="s">
        <v>202</v>
      </c>
      <c r="D61" s="4">
        <v>44147</v>
      </c>
      <c r="E61" t="s">
        <v>208</v>
      </c>
      <c r="F61" t="s">
        <v>318</v>
      </c>
      <c r="G61" t="s">
        <v>319</v>
      </c>
      <c r="H61" s="2">
        <v>69.989999999999995</v>
      </c>
      <c r="I61" t="s">
        <v>169</v>
      </c>
      <c r="J61" t="s">
        <v>18</v>
      </c>
      <c r="K61" t="s">
        <v>200</v>
      </c>
    </row>
    <row r="62" spans="1:11" x14ac:dyDescent="0.35">
      <c r="A62" t="s">
        <v>320</v>
      </c>
      <c r="B62" t="s">
        <v>232</v>
      </c>
      <c r="C62" t="s">
        <v>183</v>
      </c>
      <c r="D62" s="1">
        <v>40347</v>
      </c>
      <c r="E62" t="s">
        <v>245</v>
      </c>
      <c r="F62" t="s">
        <v>246</v>
      </c>
      <c r="G62" t="s">
        <v>321</v>
      </c>
      <c r="H62" t="s">
        <v>322</v>
      </c>
      <c r="I62" t="s">
        <v>323</v>
      </c>
      <c r="J62" t="s">
        <v>39</v>
      </c>
      <c r="K62" t="s">
        <v>232</v>
      </c>
    </row>
    <row r="63" spans="1:11" x14ac:dyDescent="0.35">
      <c r="A63" t="s">
        <v>324</v>
      </c>
      <c r="B63" t="s">
        <v>12</v>
      </c>
      <c r="C63" t="s">
        <v>74</v>
      </c>
      <c r="D63" s="1">
        <v>43728</v>
      </c>
      <c r="E63" t="s">
        <v>325</v>
      </c>
      <c r="F63" t="s">
        <v>180</v>
      </c>
      <c r="G63" t="s">
        <v>181</v>
      </c>
      <c r="H63" s="2">
        <v>59.99</v>
      </c>
      <c r="I63" t="s">
        <v>135</v>
      </c>
      <c r="J63" t="s">
        <v>39</v>
      </c>
      <c r="K63" t="s">
        <v>326</v>
      </c>
    </row>
    <row r="64" spans="1:11" x14ac:dyDescent="0.35">
      <c r="A64" t="s">
        <v>327</v>
      </c>
      <c r="B64" t="s">
        <v>12</v>
      </c>
      <c r="C64" t="s">
        <v>90</v>
      </c>
      <c r="D64" t="s">
        <v>328</v>
      </c>
      <c r="E64" t="s">
        <v>329</v>
      </c>
      <c r="F64" t="s">
        <v>330</v>
      </c>
      <c r="G64" t="s">
        <v>331</v>
      </c>
      <c r="H64">
        <v>59.99</v>
      </c>
      <c r="I64" t="s">
        <v>332</v>
      </c>
      <c r="J64" t="s">
        <v>94</v>
      </c>
      <c r="K64" t="s">
        <v>12</v>
      </c>
    </row>
    <row r="65" spans="1:11" x14ac:dyDescent="0.35">
      <c r="A65" t="s">
        <v>333</v>
      </c>
      <c r="B65" t="s">
        <v>145</v>
      </c>
      <c r="C65" t="s">
        <v>90</v>
      </c>
      <c r="D65" s="1">
        <v>41593</v>
      </c>
      <c r="E65" t="s">
        <v>189</v>
      </c>
      <c r="F65" t="s">
        <v>334</v>
      </c>
      <c r="G65" s="5">
        <v>1000000000</v>
      </c>
      <c r="H65" s="2">
        <v>59.99</v>
      </c>
      <c r="I65" t="s">
        <v>163</v>
      </c>
      <c r="J65" t="s">
        <v>18</v>
      </c>
      <c r="K65" t="s">
        <v>335</v>
      </c>
    </row>
    <row r="66" spans="1:11" x14ac:dyDescent="0.35">
      <c r="A66" t="s">
        <v>336</v>
      </c>
      <c r="B66" t="s">
        <v>232</v>
      </c>
      <c r="C66" t="s">
        <v>74</v>
      </c>
      <c r="D66" s="1">
        <v>43046</v>
      </c>
      <c r="E66" t="s">
        <v>337</v>
      </c>
      <c r="F66" t="s">
        <v>338</v>
      </c>
      <c r="G66" s="5">
        <v>330000000</v>
      </c>
      <c r="H66" s="2">
        <v>59.99</v>
      </c>
      <c r="I66" t="s">
        <v>219</v>
      </c>
      <c r="J66" t="s">
        <v>32</v>
      </c>
      <c r="K66" t="s">
        <v>170</v>
      </c>
    </row>
    <row r="67" spans="1:11" x14ac:dyDescent="0.35">
      <c r="A67" t="s">
        <v>339</v>
      </c>
      <c r="B67" t="s">
        <v>145</v>
      </c>
      <c r="C67" t="s">
        <v>67</v>
      </c>
      <c r="D67" s="1">
        <v>40057</v>
      </c>
      <c r="E67" t="s">
        <v>340</v>
      </c>
      <c r="F67" t="s">
        <v>341</v>
      </c>
      <c r="G67" s="5">
        <v>420000000</v>
      </c>
      <c r="H67" s="2">
        <v>59.99</v>
      </c>
      <c r="I67" t="s">
        <v>342</v>
      </c>
      <c r="J67" t="s">
        <v>32</v>
      </c>
      <c r="K67" t="s">
        <v>343</v>
      </c>
    </row>
    <row r="68" spans="1:11" x14ac:dyDescent="0.35">
      <c r="A68" t="s">
        <v>344</v>
      </c>
      <c r="B68" t="s">
        <v>12</v>
      </c>
      <c r="C68" t="s">
        <v>345</v>
      </c>
      <c r="D68" t="s">
        <v>346</v>
      </c>
    </row>
    <row r="69" spans="1:11" x14ac:dyDescent="0.35">
      <c r="A69" t="s">
        <v>347</v>
      </c>
      <c r="B69" t="s">
        <v>282</v>
      </c>
      <c r="C69" t="s">
        <v>348</v>
      </c>
      <c r="D69" s="1">
        <v>34659</v>
      </c>
      <c r="E69" t="s">
        <v>349</v>
      </c>
      <c r="F69" t="s">
        <v>350</v>
      </c>
      <c r="G69" s="5">
        <v>30000000</v>
      </c>
      <c r="H69" s="2">
        <v>59.99</v>
      </c>
      <c r="I69" t="s">
        <v>235</v>
      </c>
      <c r="J69" t="s">
        <v>18</v>
      </c>
      <c r="K69" t="s">
        <v>351</v>
      </c>
    </row>
    <row r="70" spans="1:11" x14ac:dyDescent="0.35">
      <c r="A70" t="s">
        <v>352</v>
      </c>
      <c r="B70" t="s">
        <v>282</v>
      </c>
      <c r="C70" t="s">
        <v>353</v>
      </c>
      <c r="D70" s="1">
        <v>33892</v>
      </c>
      <c r="E70" t="s">
        <v>354</v>
      </c>
      <c r="F70" t="s">
        <v>355</v>
      </c>
      <c r="G70" s="5">
        <v>75000000</v>
      </c>
      <c r="H70" s="2">
        <v>49.99</v>
      </c>
      <c r="I70" t="s">
        <v>17</v>
      </c>
      <c r="J70" t="s">
        <v>102</v>
      </c>
      <c r="K70" t="s">
        <v>285</v>
      </c>
    </row>
    <row r="71" spans="1:11" x14ac:dyDescent="0.35">
      <c r="A71" t="s">
        <v>356</v>
      </c>
      <c r="B71" t="s">
        <v>145</v>
      </c>
      <c r="C71" t="s">
        <v>357</v>
      </c>
      <c r="D71" s="1">
        <v>44979</v>
      </c>
      <c r="E71" t="s">
        <v>358</v>
      </c>
      <c r="F71" t="s">
        <v>359</v>
      </c>
      <c r="G71" t="s">
        <v>360</v>
      </c>
      <c r="H71" s="2">
        <v>59.99</v>
      </c>
      <c r="I71" t="s">
        <v>163</v>
      </c>
      <c r="J71" t="s">
        <v>78</v>
      </c>
      <c r="K71" t="s">
        <v>361</v>
      </c>
    </row>
    <row r="72" spans="1:11" x14ac:dyDescent="0.35">
      <c r="A72" t="s">
        <v>362</v>
      </c>
      <c r="B72" t="s">
        <v>232</v>
      </c>
      <c r="C72" t="s">
        <v>202</v>
      </c>
      <c r="D72" s="1">
        <v>44145</v>
      </c>
      <c r="E72" t="s">
        <v>363</v>
      </c>
      <c r="F72" t="s">
        <v>364</v>
      </c>
      <c r="G72" s="5">
        <v>192000000</v>
      </c>
      <c r="H72" s="2">
        <v>59.99</v>
      </c>
      <c r="I72" t="s">
        <v>77</v>
      </c>
      <c r="J72" t="s">
        <v>78</v>
      </c>
      <c r="K72" t="s">
        <v>365</v>
      </c>
    </row>
    <row r="73" spans="1:11" x14ac:dyDescent="0.35">
      <c r="A73" t="s">
        <v>205</v>
      </c>
      <c r="B73" t="s">
        <v>145</v>
      </c>
      <c r="C73" t="s">
        <v>202</v>
      </c>
      <c r="D73" s="1">
        <v>44147</v>
      </c>
      <c r="E73" t="s">
        <v>208</v>
      </c>
      <c r="F73">
        <v>11</v>
      </c>
      <c r="G73" s="5">
        <v>770000000</v>
      </c>
      <c r="H73" s="2">
        <v>69.989999999999995</v>
      </c>
      <c r="I73" t="s">
        <v>163</v>
      </c>
      <c r="J73" t="s">
        <v>18</v>
      </c>
      <c r="K73" t="s">
        <v>200</v>
      </c>
    </row>
    <row r="74" spans="1:11" x14ac:dyDescent="0.35">
      <c r="A74" t="s">
        <v>205</v>
      </c>
      <c r="B74" t="s">
        <v>145</v>
      </c>
      <c r="C74" t="s">
        <v>202</v>
      </c>
      <c r="D74" s="1">
        <v>44147</v>
      </c>
      <c r="E74" t="s">
        <v>208</v>
      </c>
      <c r="F74" s="3">
        <v>11000000</v>
      </c>
      <c r="G74" s="5">
        <v>770000000</v>
      </c>
      <c r="H74" s="2">
        <v>69.989999999999995</v>
      </c>
      <c r="I74" t="s">
        <v>163</v>
      </c>
      <c r="J74" t="s">
        <v>18</v>
      </c>
      <c r="K74" t="s">
        <v>200</v>
      </c>
    </row>
    <row r="75" spans="1:11" x14ac:dyDescent="0.35">
      <c r="A75" t="s">
        <v>257</v>
      </c>
      <c r="B75" t="s">
        <v>232</v>
      </c>
      <c r="C75" t="s">
        <v>74</v>
      </c>
      <c r="D75" s="1">
        <v>41600</v>
      </c>
      <c r="E75" t="s">
        <v>262</v>
      </c>
      <c r="F75" t="s">
        <v>366</v>
      </c>
      <c r="G75" s="5">
        <v>270000000</v>
      </c>
      <c r="H75" s="2">
        <v>29.99</v>
      </c>
      <c r="I75" t="s">
        <v>367</v>
      </c>
      <c r="J75" t="s">
        <v>18</v>
      </c>
      <c r="K75" t="s">
        <v>368</v>
      </c>
    </row>
    <row r="76" spans="1:11" x14ac:dyDescent="0.35">
      <c r="A76" t="s">
        <v>85</v>
      </c>
      <c r="B76" t="s">
        <v>12</v>
      </c>
      <c r="C76" t="s">
        <v>74</v>
      </c>
      <c r="D76" s="1">
        <v>42797</v>
      </c>
      <c r="E76" t="s">
        <v>86</v>
      </c>
      <c r="F76" t="s">
        <v>369</v>
      </c>
      <c r="G76" t="s">
        <v>370</v>
      </c>
      <c r="H76" s="2">
        <v>59.99</v>
      </c>
      <c r="I76" t="s">
        <v>77</v>
      </c>
      <c r="J76" t="s">
        <v>39</v>
      </c>
      <c r="K76" t="s">
        <v>12</v>
      </c>
    </row>
    <row r="77" spans="1:11" x14ac:dyDescent="0.35">
      <c r="A77" t="s">
        <v>66</v>
      </c>
      <c r="B77" t="s">
        <v>12</v>
      </c>
      <c r="C77" t="s">
        <v>67</v>
      </c>
      <c r="D77" t="s">
        <v>371</v>
      </c>
      <c r="E77" t="s">
        <v>68</v>
      </c>
      <c r="F77" s="3">
        <v>82900000</v>
      </c>
      <c r="G77" s="5">
        <v>3300000000</v>
      </c>
      <c r="H77" t="s">
        <v>372</v>
      </c>
      <c r="I77" t="s">
        <v>72</v>
      </c>
      <c r="J77" t="s">
        <v>78</v>
      </c>
      <c r="K77" t="s">
        <v>12</v>
      </c>
    </row>
    <row r="78" spans="1:11" x14ac:dyDescent="0.35">
      <c r="A78" t="s">
        <v>188</v>
      </c>
      <c r="B78" t="s">
        <v>145</v>
      </c>
      <c r="C78" t="s">
        <v>74</v>
      </c>
      <c r="D78" s="4">
        <v>41593</v>
      </c>
      <c r="E78" t="s">
        <v>184</v>
      </c>
      <c r="F78" t="s">
        <v>246</v>
      </c>
      <c r="G78" t="s">
        <v>373</v>
      </c>
      <c r="H78" s="2">
        <v>59.99</v>
      </c>
      <c r="I78" t="s">
        <v>342</v>
      </c>
      <c r="J78" t="s">
        <v>39</v>
      </c>
      <c r="K78" t="s">
        <v>164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00B0F0"/>
  </sheetPr>
  <dimension ref="A1:AZ63"/>
  <sheetViews>
    <sheetView workbookViewId="0">
      <selection activeCell="D8" sqref="D8"/>
    </sheetView>
  </sheetViews>
  <sheetFormatPr defaultRowHeight="14.5" x14ac:dyDescent="0.35"/>
  <cols>
    <col min="1" max="1" width="18.6328125" bestFit="1" customWidth="1"/>
    <col min="2" max="2" width="14.7265625" bestFit="1" customWidth="1"/>
    <col min="3" max="3" width="12.54296875" bestFit="1" customWidth="1"/>
    <col min="4" max="4" width="18.453125" style="1" bestFit="1" customWidth="1"/>
    <col min="5" max="5" width="32" bestFit="1" customWidth="1"/>
    <col min="6" max="6" width="21.36328125" style="6" customWidth="1"/>
    <col min="7" max="7" width="36.7265625" bestFit="1" customWidth="1"/>
    <col min="8" max="8" width="15.54296875" bestFit="1" customWidth="1"/>
    <col min="9" max="9" width="8.7265625" bestFit="1" customWidth="1"/>
    <col min="10" max="10" width="17.81640625" bestFit="1" customWidth="1"/>
    <col min="11" max="11" width="26.6328125" bestFit="1" customWidth="1"/>
    <col min="12" max="12" width="46.08984375" bestFit="1" customWidth="1"/>
    <col min="13" max="13" width="47.7265625" bestFit="1" customWidth="1"/>
    <col min="14" max="14" width="12.7265625" bestFit="1" customWidth="1"/>
    <col min="15" max="15" width="14.90625" bestFit="1" customWidth="1"/>
    <col min="16" max="16" width="20.08984375" bestFit="1" customWidth="1"/>
    <col min="17" max="17" width="20.453125" bestFit="1" customWidth="1"/>
    <col min="18" max="18" width="19.453125" bestFit="1" customWidth="1"/>
    <col min="19" max="19" width="60.54296875" bestFit="1" customWidth="1"/>
    <col min="20" max="20" width="19.08984375" bestFit="1" customWidth="1"/>
    <col min="21" max="21" width="23.453125" bestFit="1" customWidth="1"/>
    <col min="22" max="22" width="15.54296875" bestFit="1" customWidth="1"/>
    <col min="23" max="23" width="16.6328125" bestFit="1" customWidth="1"/>
    <col min="24" max="24" width="11.08984375" bestFit="1" customWidth="1"/>
    <col min="25" max="25" width="11.453125" bestFit="1" customWidth="1"/>
    <col min="26" max="26" width="14.54296875" bestFit="1" customWidth="1"/>
    <col min="27" max="27" width="26.453125" bestFit="1" customWidth="1"/>
    <col min="28" max="28" width="20.26953125" bestFit="1" customWidth="1"/>
    <col min="29" max="29" width="25.54296875" bestFit="1" customWidth="1"/>
    <col min="30" max="30" width="25.26953125" bestFit="1" customWidth="1"/>
    <col min="31" max="31" width="22.08984375" bestFit="1" customWidth="1"/>
    <col min="32" max="32" width="24.08984375" bestFit="1" customWidth="1"/>
    <col min="33" max="33" width="20.81640625" bestFit="1" customWidth="1"/>
    <col min="34" max="34" width="21.6328125" bestFit="1" customWidth="1"/>
    <col min="35" max="35" width="21.453125" bestFit="1" customWidth="1"/>
    <col min="36" max="36" width="20.90625" bestFit="1" customWidth="1"/>
    <col min="37" max="37" width="23.54296875" bestFit="1" customWidth="1"/>
    <col min="38" max="38" width="28.54296875" bestFit="1" customWidth="1"/>
    <col min="39" max="39" width="28.36328125" bestFit="1" customWidth="1"/>
    <col min="40" max="40" width="27.81640625" bestFit="1" customWidth="1"/>
    <col min="41" max="41" width="30.36328125" bestFit="1" customWidth="1"/>
    <col min="42" max="42" width="23.54296875" bestFit="1" customWidth="1"/>
    <col min="43" max="43" width="23.36328125" bestFit="1" customWidth="1"/>
    <col min="44" max="44" width="22.7265625" bestFit="1" customWidth="1"/>
    <col min="45" max="45" width="25.36328125" bestFit="1" customWidth="1"/>
    <col min="46" max="46" width="30.36328125" bestFit="1" customWidth="1"/>
    <col min="47" max="47" width="30.1796875" bestFit="1" customWidth="1"/>
    <col min="48" max="48" width="29.6328125" bestFit="1" customWidth="1"/>
    <col min="49" max="49" width="32.26953125" bestFit="1" customWidth="1"/>
    <col min="50" max="50" width="19" bestFit="1" customWidth="1"/>
    <col min="51" max="51" width="27.08984375" bestFit="1" customWidth="1"/>
    <col min="52" max="52" width="51" bestFit="1" customWidth="1"/>
  </cols>
  <sheetData>
    <row r="1" spans="1:52" x14ac:dyDescent="0.35">
      <c r="A1" t="s">
        <v>374</v>
      </c>
      <c r="B1" t="s">
        <v>1</v>
      </c>
      <c r="C1" t="s">
        <v>2</v>
      </c>
      <c r="D1" s="1" t="s">
        <v>375</v>
      </c>
      <c r="E1" t="s">
        <v>376</v>
      </c>
      <c r="F1" s="6" t="s">
        <v>377</v>
      </c>
      <c r="G1" t="s">
        <v>378</v>
      </c>
      <c r="H1" t="s">
        <v>8</v>
      </c>
      <c r="I1" t="s">
        <v>9</v>
      </c>
      <c r="J1" t="s">
        <v>379</v>
      </c>
      <c r="K1" s="9" t="s">
        <v>380</v>
      </c>
      <c r="L1" s="9" t="s">
        <v>381</v>
      </c>
      <c r="M1" s="9" t="s">
        <v>382</v>
      </c>
      <c r="N1" s="9" t="s">
        <v>383</v>
      </c>
      <c r="O1" s="9" t="s">
        <v>384</v>
      </c>
      <c r="P1" t="s">
        <v>385</v>
      </c>
      <c r="Q1" t="s">
        <v>386</v>
      </c>
      <c r="R1" t="s">
        <v>387</v>
      </c>
      <c r="S1" t="s">
        <v>388</v>
      </c>
      <c r="T1" t="s">
        <v>389</v>
      </c>
      <c r="U1" t="s">
        <v>390</v>
      </c>
      <c r="V1" s="9" t="s">
        <v>391</v>
      </c>
      <c r="W1" s="9" t="s">
        <v>392</v>
      </c>
      <c r="X1" s="9" t="s">
        <v>393</v>
      </c>
      <c r="Y1" s="9" t="s">
        <v>394</v>
      </c>
      <c r="Z1" s="9" t="s">
        <v>395</v>
      </c>
      <c r="AA1" s="9" t="s">
        <v>396</v>
      </c>
      <c r="AB1" s="9" t="s">
        <v>397</v>
      </c>
      <c r="AC1" s="9" t="s">
        <v>398</v>
      </c>
      <c r="AD1" s="9" t="s">
        <v>399</v>
      </c>
      <c r="AE1" s="9" t="s">
        <v>400</v>
      </c>
      <c r="AF1" s="9" t="s">
        <v>401</v>
      </c>
      <c r="AG1" s="9" t="s">
        <v>402</v>
      </c>
      <c r="AH1" s="9" t="s">
        <v>403</v>
      </c>
      <c r="AI1" s="9" t="s">
        <v>404</v>
      </c>
      <c r="AJ1" s="9" t="s">
        <v>405</v>
      </c>
      <c r="AK1" s="9" t="s">
        <v>406</v>
      </c>
      <c r="AL1" s="9" t="s">
        <v>407</v>
      </c>
      <c r="AM1" s="9" t="s">
        <v>408</v>
      </c>
      <c r="AN1" s="9" t="s">
        <v>409</v>
      </c>
      <c r="AO1" s="9" t="s">
        <v>410</v>
      </c>
      <c r="AP1" s="9" t="s">
        <v>411</v>
      </c>
      <c r="AQ1" s="9" t="s">
        <v>412</v>
      </c>
      <c r="AR1" s="9" t="s">
        <v>413</v>
      </c>
      <c r="AS1" s="9" t="s">
        <v>414</v>
      </c>
      <c r="AT1" s="9" t="s">
        <v>415</v>
      </c>
      <c r="AU1" s="9" t="s">
        <v>416</v>
      </c>
      <c r="AV1" s="9" t="s">
        <v>417</v>
      </c>
      <c r="AW1" s="9" t="s">
        <v>418</v>
      </c>
      <c r="AX1" s="9" t="s">
        <v>419</v>
      </c>
      <c r="AY1" s="9" t="s">
        <v>420</v>
      </c>
      <c r="AZ1" s="9" t="s">
        <v>421</v>
      </c>
    </row>
    <row r="2" spans="1:52" x14ac:dyDescent="0.35">
      <c r="A2" t="s">
        <v>299</v>
      </c>
      <c r="B2" t="s">
        <v>282</v>
      </c>
      <c r="C2" t="s">
        <v>52</v>
      </c>
      <c r="D2" s="8">
        <v>36412</v>
      </c>
      <c r="E2" t="s">
        <v>300</v>
      </c>
      <c r="F2" s="26">
        <v>2500000</v>
      </c>
      <c r="G2" s="7">
        <v>125000000</v>
      </c>
      <c r="H2" t="s">
        <v>17</v>
      </c>
      <c r="I2" t="s">
        <v>39</v>
      </c>
      <c r="J2" t="s">
        <v>422</v>
      </c>
      <c r="K2" s="14">
        <v>9130000</v>
      </c>
      <c r="L2" s="15">
        <v>1816870000</v>
      </c>
      <c r="M2" s="12" t="s">
        <v>423</v>
      </c>
      <c r="N2" s="10">
        <v>1998</v>
      </c>
      <c r="O2" s="10">
        <v>2001</v>
      </c>
      <c r="P2" s="16">
        <v>199</v>
      </c>
      <c r="Q2" s="16"/>
      <c r="R2" s="16">
        <f t="shared" ref="R2:R28" si="0">IF(Q2="",P2,AVERAGE(P2,Q2))</f>
        <v>199</v>
      </c>
      <c r="S2" t="s">
        <v>424</v>
      </c>
      <c r="T2" s="16">
        <f t="shared" ref="T2:T27" si="1">IFERROR(L2/K2,"")</f>
        <v>199</v>
      </c>
      <c r="U2" s="17">
        <f t="shared" ref="U2:U28" si="2">IFERROR(T2/R2,"")</f>
        <v>1</v>
      </c>
      <c r="V2" s="19" t="str">
        <f t="shared" ref="V2:V28" si="3">IF(ISNUMBER(SEARCH("lifetime",LOWER($M2))),"Lifetime",IF(ISNUMBER(SEARCH("as of",LOWER($M2))),"AsOf",IF(ISNUMBER(SEARCH("estimate",LOWER($M2))),"Estimate","Other")))</f>
        <v>Lifetime</v>
      </c>
      <c r="W2" s="19" t="str">
        <f t="shared" ref="W2:W28" si="4">IF($V2&lt;&gt;"AsOf","",IF(AND(LEN($M2)&gt;=16,MID($M2,11,1)="-",MID($M2,14,1)="-"),"Day",IF(AND(LEN($M2)&gt;=13,MID($M2,11,1)="-"),"Month","Year")))</f>
        <v/>
      </c>
      <c r="X2" s="20" t="str">
        <f t="shared" ref="X2:X28" si="5">IF($W2="Day",IFERROR(DATE(VALUE(MID($M2,7,4)),VALUE(MID($M2,12,2)),VALUE(MID($M2,15,2))),""),IF($W2="Month",IFERROR(EOMONTH(DATE(VALUE(MID($M2,7,4)),VALUE(MID($M2,12,2)),1),0),""),IF($W2="Year",IFERROR(DATE(VALUE(MID($M2,7,4)),12,31),""),"")))</f>
        <v/>
      </c>
      <c r="Y2" s="19" t="str">
        <f t="shared" ref="Y2:Y28" si="6">IF($O2="","Active","Ended")</f>
        <v>Ended</v>
      </c>
      <c r="Z2" s="21">
        <f t="shared" ref="Z2:Z28" si="7">IF(OR($N2="",$O2=""),"",$O2-$N2)</f>
        <v>3</v>
      </c>
      <c r="AA2" s="21">
        <f t="shared" ref="AA2:AA28" si="8">IF($L2="",1,0)</f>
        <v>0</v>
      </c>
      <c r="AB2" s="21">
        <f t="shared" ref="AB2:AB28" si="9">IF(OR($AA2=1,$V2="Estimate",$A2="Nintendo Switch 2"),1,0)</f>
        <v>0</v>
      </c>
      <c r="AC2" s="19" t="str">
        <f t="shared" ref="AC2:AC28" si="10">IF($AA2=1,"Missing",IF($AB2=1,"Proxy (estimated)","Proxy (input)"))</f>
        <v>Proxy (input)</v>
      </c>
      <c r="AD2" s="21">
        <f t="shared" ref="AD2:AD28" si="11">IF($A2="Nintendo Switch 2",1,0)</f>
        <v>0</v>
      </c>
      <c r="AE2" s="19" t="str">
        <f t="shared" ref="AE2:AE28" si="12">IF($AD2=1,"Proxy (estimated)","Proxy (input)")</f>
        <v>Proxy (input)</v>
      </c>
      <c r="AF2" s="16">
        <f t="shared" ref="AF2:AF28" si="13">IF(OR($F2="",$G2=""),"",$G2/$F2)</f>
        <v>50</v>
      </c>
      <c r="AG2" s="22">
        <f t="shared" ref="AG2:AG28" si="14">IF(OR($F2="",$K2=""),"",$F2/$K2)</f>
        <v>0.2738225629791895</v>
      </c>
      <c r="AH2" s="14">
        <f>IF($K2="","",$K2*IFERROR(VLOOKUP($B2,'Regional Assumptions'!$A$7:$G$11,2,FALSE),VLOOKUP("Default",'Regional Assumptions'!$A$7:$G$11,2,FALSE)))</f>
        <v>2282500</v>
      </c>
      <c r="AI2" s="14">
        <f>IF($K2="","",$K2*IFERROR(VLOOKUP($B2,'Regional Assumptions'!$A$7:$G$11,3,FALSE),VLOOKUP("Default",'Regional Assumptions'!$A$7:$G$11,3,FALSE)))</f>
        <v>2282500</v>
      </c>
      <c r="AJ2" s="14">
        <f>IF($K2="","",$K2*IFERROR(VLOOKUP($B2,'Regional Assumptions'!$A$7:$G$11,4,FALSE),VLOOKUP("Default",'Regional Assumptions'!$A$7:$G$11,4,FALSE)))</f>
        <v>2282500</v>
      </c>
      <c r="AK2" s="14">
        <f>IF($K2="","",$K2*IFERROR(VLOOKUP($B2,'Regional Assumptions'!$A$7:$G$11,5,FALSE),VLOOKUP("Default",'Regional Assumptions'!$A$7:$G$11,5,FALSE)))</f>
        <v>2282500</v>
      </c>
      <c r="AL2" s="15">
        <f>IF($L2="","",$L2*IFERROR(VLOOKUP($B2,'Regional Assumptions'!$A$7:$G$11,2,FALSE),VLOOKUP("Default",'Regional Assumptions'!$A$7:$G$11,2,FALSE)))</f>
        <v>454217500</v>
      </c>
      <c r="AM2" s="15">
        <f>IF($L2="","",$L2*IFERROR(VLOOKUP($B2,'Regional Assumptions'!$A$7:$G$11,3,FALSE),VLOOKUP("Default",'Regional Assumptions'!$A$7:$G$11,3,FALSE)))</f>
        <v>454217500</v>
      </c>
      <c r="AN2" s="15">
        <f>IF($L2="","",$L2*IFERROR(VLOOKUP($B2,'Regional Assumptions'!$A$7:$G$11,4,FALSE),VLOOKUP("Default",'Regional Assumptions'!$A$7:$G$11,4,FALSE)))</f>
        <v>454217500</v>
      </c>
      <c r="AO2" s="15">
        <f>IF($L2="","",$L2*IFERROR(VLOOKUP($B2,'Regional Assumptions'!$A$7:$G$11,5,FALSE),VLOOKUP("Default",'Regional Assumptions'!$A$7:$G$11,5,FALSE)))</f>
        <v>454217500</v>
      </c>
      <c r="AP2" s="14">
        <f>IF($F2="","",$F2*IFERROR(VLOOKUP($B2,'Regional Assumptions'!$A$7:$G$11,2,FALSE),VLOOKUP("Default",'Regional Assumptions'!$A$7:$G$11,2,FALSE)))</f>
        <v>625000</v>
      </c>
      <c r="AQ2" s="14">
        <f>IF($F2="","",$F2*IFERROR(VLOOKUP($B2,'Regional Assumptions'!$A$7:$G$11,3,FALSE),VLOOKUP("Default",'Regional Assumptions'!$A$7:$G$11,3,FALSE)))</f>
        <v>625000</v>
      </c>
      <c r="AR2" s="14">
        <f>IF($F2="","",$F2*IFERROR(VLOOKUP($B2,'Regional Assumptions'!$A$7:$G$11,4,FALSE),VLOOKUP("Default",'Regional Assumptions'!$A$7:$G$11,4,FALSE)))</f>
        <v>625000</v>
      </c>
      <c r="AS2" s="14">
        <f>IF($F2="","",$F2*IFERROR(VLOOKUP($B2,'Regional Assumptions'!$A$7:$G$11,5,FALSE),VLOOKUP("Default",'Regional Assumptions'!$A$7:$G$11,5,FALSE)))</f>
        <v>625000</v>
      </c>
      <c r="AT2" s="15">
        <f>IF($G2="","",$G2*IFERROR(VLOOKUP($B2,'Regional Assumptions'!$A$7:$G$11,2,FALSE),VLOOKUP("Default",'Regional Assumptions'!$A$7:$G$11,2,FALSE)))</f>
        <v>31250000</v>
      </c>
      <c r="AU2" s="15">
        <f>IF($G2="","",$G2*IFERROR(VLOOKUP($B2,'Regional Assumptions'!$A$7:$G$11,3,FALSE),VLOOKUP("Default",'Regional Assumptions'!$A$7:$G$11,3,FALSE)))</f>
        <v>31250000</v>
      </c>
      <c r="AV2" s="15">
        <f>IF($G2="","",$G2*IFERROR(VLOOKUP($B2,'Regional Assumptions'!$A$7:$G$11,4,FALSE),VLOOKUP("Default",'Regional Assumptions'!$A$7:$G$11,4,FALSE)))</f>
        <v>31250000</v>
      </c>
      <c r="AW2" s="15">
        <f>IF($G2="","",$G2*IFERROR(VLOOKUP($B2,'Regional Assumptions'!$A$7:$G$11,5,FALSE),VLOOKUP("Default",'Regional Assumptions'!$A$7:$G$11,5,FALSE)))</f>
        <v>31250000</v>
      </c>
      <c r="AX2" s="10">
        <f t="shared" ref="AX2:AX28" si="15">IF($K2="","",1)</f>
        <v>1</v>
      </c>
      <c r="AY2" s="9" t="str">
        <f t="shared" ref="AY2:AY28" si="16">IF($K2="","","Proxy split (assumption shares)")</f>
        <v>Proxy split (assumption shares)</v>
      </c>
      <c r="AZ2" s="9" t="str">
        <f>'Regional Assumptions'!$B$2</f>
        <v>NA=US+Canada; EU=Europe; JP=Japan; ROW=Rest of World</v>
      </c>
    </row>
    <row r="3" spans="1:52" x14ac:dyDescent="0.35">
      <c r="A3" t="s">
        <v>97</v>
      </c>
      <c r="B3" t="s">
        <v>12</v>
      </c>
      <c r="C3" t="s">
        <v>28</v>
      </c>
      <c r="D3" s="8">
        <v>32720</v>
      </c>
      <c r="E3" t="s">
        <v>99</v>
      </c>
      <c r="F3" s="26">
        <v>35000000</v>
      </c>
      <c r="G3" s="7">
        <v>875000000</v>
      </c>
      <c r="H3" t="s">
        <v>101</v>
      </c>
      <c r="I3" t="s">
        <v>39</v>
      </c>
      <c r="J3" t="s">
        <v>12</v>
      </c>
      <c r="K3" s="14">
        <v>118690000</v>
      </c>
      <c r="L3" s="15">
        <v>10563410000</v>
      </c>
      <c r="M3" s="12" t="s">
        <v>425</v>
      </c>
      <c r="N3" s="10">
        <v>1989</v>
      </c>
      <c r="O3" s="10">
        <v>2003</v>
      </c>
      <c r="P3" s="16">
        <v>89.99</v>
      </c>
      <c r="Q3" s="16"/>
      <c r="R3" s="16">
        <f t="shared" si="0"/>
        <v>89.99</v>
      </c>
      <c r="S3" t="s">
        <v>426</v>
      </c>
      <c r="T3" s="16">
        <f t="shared" si="1"/>
        <v>89</v>
      </c>
      <c r="U3" s="17">
        <f t="shared" si="2"/>
        <v>0.98899877764196031</v>
      </c>
      <c r="V3" s="19" t="str">
        <f t="shared" si="3"/>
        <v>Lifetime</v>
      </c>
      <c r="W3" s="19" t="str">
        <f t="shared" si="4"/>
        <v/>
      </c>
      <c r="X3" s="20" t="str">
        <f t="shared" si="5"/>
        <v/>
      </c>
      <c r="Y3" s="19" t="str">
        <f t="shared" si="6"/>
        <v>Ended</v>
      </c>
      <c r="Z3" s="21">
        <f t="shared" si="7"/>
        <v>14</v>
      </c>
      <c r="AA3" s="21">
        <f t="shared" si="8"/>
        <v>0</v>
      </c>
      <c r="AB3" s="21">
        <f t="shared" si="9"/>
        <v>0</v>
      </c>
      <c r="AC3" s="19" t="str">
        <f t="shared" si="10"/>
        <v>Proxy (input)</v>
      </c>
      <c r="AD3" s="21">
        <f t="shared" si="11"/>
        <v>0</v>
      </c>
      <c r="AE3" s="19" t="str">
        <f t="shared" si="12"/>
        <v>Proxy (input)</v>
      </c>
      <c r="AF3" s="16">
        <f t="shared" si="13"/>
        <v>25</v>
      </c>
      <c r="AG3" s="22">
        <f t="shared" si="14"/>
        <v>0.29488583705451177</v>
      </c>
      <c r="AH3" s="14">
        <f>IF($K3="","",$K3*IFERROR(VLOOKUP($B3,'Regional Assumptions'!$A$7:$G$11,2,FALSE),VLOOKUP("Default",'Regional Assumptions'!$A$7:$G$11,2,FALSE)))</f>
        <v>29672500</v>
      </c>
      <c r="AI3" s="14">
        <f>IF($K3="","",$K3*IFERROR(VLOOKUP($B3,'Regional Assumptions'!$A$7:$G$11,3,FALSE),VLOOKUP("Default",'Regional Assumptions'!$A$7:$G$11,3,FALSE)))</f>
        <v>29672500</v>
      </c>
      <c r="AJ3" s="14">
        <f>IF($K3="","",$K3*IFERROR(VLOOKUP($B3,'Regional Assumptions'!$A$7:$G$11,4,FALSE),VLOOKUP("Default",'Regional Assumptions'!$A$7:$G$11,4,FALSE)))</f>
        <v>29672500</v>
      </c>
      <c r="AK3" s="14">
        <f>IF($K3="","",$K3*IFERROR(VLOOKUP($B3,'Regional Assumptions'!$A$7:$G$11,5,FALSE),VLOOKUP("Default",'Regional Assumptions'!$A$7:$G$11,5,FALSE)))</f>
        <v>29672500</v>
      </c>
      <c r="AL3" s="15">
        <f>IF($L3="","",$L3*IFERROR(VLOOKUP($B3,'Regional Assumptions'!$A$7:$G$11,2,FALSE),VLOOKUP("Default",'Regional Assumptions'!$A$7:$G$11,2,FALSE)))</f>
        <v>2640852500</v>
      </c>
      <c r="AM3" s="15">
        <f>IF($L3="","",$L3*IFERROR(VLOOKUP($B3,'Regional Assumptions'!$A$7:$G$11,3,FALSE),VLOOKUP("Default",'Regional Assumptions'!$A$7:$G$11,3,FALSE)))</f>
        <v>2640852500</v>
      </c>
      <c r="AN3" s="15">
        <f>IF($L3="","",$L3*IFERROR(VLOOKUP($B3,'Regional Assumptions'!$A$7:$G$11,4,FALSE),VLOOKUP("Default",'Regional Assumptions'!$A$7:$G$11,4,FALSE)))</f>
        <v>2640852500</v>
      </c>
      <c r="AO3" s="15">
        <f>IF($L3="","",$L3*IFERROR(VLOOKUP($B3,'Regional Assumptions'!$A$7:$G$11,5,FALSE),VLOOKUP("Default",'Regional Assumptions'!$A$7:$G$11,5,FALSE)))</f>
        <v>2640852500</v>
      </c>
      <c r="AP3" s="14">
        <f>IF($F3="","",$F3*IFERROR(VLOOKUP($B3,'Regional Assumptions'!$A$7:$G$11,2,FALSE),VLOOKUP("Default",'Regional Assumptions'!$A$7:$G$11,2,FALSE)))</f>
        <v>8750000</v>
      </c>
      <c r="AQ3" s="14">
        <f>IF($F3="","",$F3*IFERROR(VLOOKUP($B3,'Regional Assumptions'!$A$7:$G$11,3,FALSE),VLOOKUP("Default",'Regional Assumptions'!$A$7:$G$11,3,FALSE)))</f>
        <v>8750000</v>
      </c>
      <c r="AR3" s="14">
        <f>IF($F3="","",$F3*IFERROR(VLOOKUP($B3,'Regional Assumptions'!$A$7:$G$11,4,FALSE),VLOOKUP("Default",'Regional Assumptions'!$A$7:$G$11,4,FALSE)))</f>
        <v>8750000</v>
      </c>
      <c r="AS3" s="14">
        <f>IF($F3="","",$F3*IFERROR(VLOOKUP($B3,'Regional Assumptions'!$A$7:$G$11,5,FALSE),VLOOKUP("Default",'Regional Assumptions'!$A$7:$G$11,5,FALSE)))</f>
        <v>8750000</v>
      </c>
      <c r="AT3" s="15">
        <f>IF($G3="","",$G3*IFERROR(VLOOKUP($B3,'Regional Assumptions'!$A$7:$G$11,2,FALSE),VLOOKUP("Default",'Regional Assumptions'!$A$7:$G$11,2,FALSE)))</f>
        <v>218750000</v>
      </c>
      <c r="AU3" s="15">
        <f>IF($G3="","",$G3*IFERROR(VLOOKUP($B3,'Regional Assumptions'!$A$7:$G$11,3,FALSE),VLOOKUP("Default",'Regional Assumptions'!$A$7:$G$11,3,FALSE)))</f>
        <v>218750000</v>
      </c>
      <c r="AV3" s="15">
        <f>IF($G3="","",$G3*IFERROR(VLOOKUP($B3,'Regional Assumptions'!$A$7:$G$11,4,FALSE),VLOOKUP("Default",'Regional Assumptions'!$A$7:$G$11,4,FALSE)))</f>
        <v>218750000</v>
      </c>
      <c r="AW3" s="15">
        <f>IF($G3="","",$G3*IFERROR(VLOOKUP($B3,'Regional Assumptions'!$A$7:$G$11,5,FALSE),VLOOKUP("Default",'Regional Assumptions'!$A$7:$G$11,5,FALSE)))</f>
        <v>218750000</v>
      </c>
      <c r="AX3" s="10">
        <f t="shared" si="15"/>
        <v>1</v>
      </c>
      <c r="AY3" s="9" t="str">
        <f t="shared" si="16"/>
        <v>Proxy split (assumption shares)</v>
      </c>
      <c r="AZ3" s="9" t="str">
        <f>'Regional Assumptions'!$B$2</f>
        <v>NA=US+Canada; EU=Europe; JP=Japan; ROW=Rest of World</v>
      </c>
    </row>
    <row r="4" spans="1:52" x14ac:dyDescent="0.35">
      <c r="A4" t="s">
        <v>111</v>
      </c>
      <c r="B4" t="s">
        <v>12</v>
      </c>
      <c r="C4" t="s">
        <v>52</v>
      </c>
      <c r="D4" s="8">
        <v>37053</v>
      </c>
      <c r="E4" t="s">
        <v>121</v>
      </c>
      <c r="F4" s="26">
        <v>16200000</v>
      </c>
      <c r="G4" s="7">
        <v>810000000</v>
      </c>
      <c r="H4" t="s">
        <v>115</v>
      </c>
      <c r="I4" t="s">
        <v>39</v>
      </c>
      <c r="J4" t="s">
        <v>427</v>
      </c>
      <c r="K4" s="14">
        <v>81510000</v>
      </c>
      <c r="L4" s="15">
        <v>8069490000</v>
      </c>
      <c r="M4" s="12" t="s">
        <v>423</v>
      </c>
      <c r="N4" s="10">
        <v>2001</v>
      </c>
      <c r="O4" s="10">
        <v>2010</v>
      </c>
      <c r="P4" s="16">
        <v>99.99</v>
      </c>
      <c r="Q4" s="16"/>
      <c r="R4" s="16">
        <f t="shared" si="0"/>
        <v>99.99</v>
      </c>
      <c r="S4" t="s">
        <v>428</v>
      </c>
      <c r="T4" s="16">
        <f t="shared" si="1"/>
        <v>99</v>
      </c>
      <c r="U4" s="17">
        <f t="shared" si="2"/>
        <v>0.9900990099009902</v>
      </c>
      <c r="V4" s="19" t="str">
        <f t="shared" si="3"/>
        <v>Lifetime</v>
      </c>
      <c r="W4" s="19" t="str">
        <f t="shared" si="4"/>
        <v/>
      </c>
      <c r="X4" s="20" t="str">
        <f t="shared" si="5"/>
        <v/>
      </c>
      <c r="Y4" s="19" t="str">
        <f t="shared" si="6"/>
        <v>Ended</v>
      </c>
      <c r="Z4" s="21">
        <f t="shared" si="7"/>
        <v>9</v>
      </c>
      <c r="AA4" s="21">
        <f t="shared" si="8"/>
        <v>0</v>
      </c>
      <c r="AB4" s="21">
        <f t="shared" si="9"/>
        <v>0</v>
      </c>
      <c r="AC4" s="19" t="str">
        <f t="shared" si="10"/>
        <v>Proxy (input)</v>
      </c>
      <c r="AD4" s="21">
        <f t="shared" si="11"/>
        <v>0</v>
      </c>
      <c r="AE4" s="19" t="str">
        <f t="shared" si="12"/>
        <v>Proxy (input)</v>
      </c>
      <c r="AF4" s="16">
        <f t="shared" si="13"/>
        <v>50</v>
      </c>
      <c r="AG4" s="22">
        <f t="shared" si="14"/>
        <v>0.19874861980125139</v>
      </c>
      <c r="AH4" s="14">
        <f>IF($K4="","",$K4*IFERROR(VLOOKUP($B4,'Regional Assumptions'!$A$7:$G$11,2,FALSE),VLOOKUP("Default",'Regional Assumptions'!$A$7:$G$11,2,FALSE)))</f>
        <v>20377500</v>
      </c>
      <c r="AI4" s="14">
        <f>IF($K4="","",$K4*IFERROR(VLOOKUP($B4,'Regional Assumptions'!$A$7:$G$11,3,FALSE),VLOOKUP("Default",'Regional Assumptions'!$A$7:$G$11,3,FALSE)))</f>
        <v>20377500</v>
      </c>
      <c r="AJ4" s="14">
        <f>IF($K4="","",$K4*IFERROR(VLOOKUP($B4,'Regional Assumptions'!$A$7:$G$11,4,FALSE),VLOOKUP("Default",'Regional Assumptions'!$A$7:$G$11,4,FALSE)))</f>
        <v>20377500</v>
      </c>
      <c r="AK4" s="14">
        <f>IF($K4="","",$K4*IFERROR(VLOOKUP($B4,'Regional Assumptions'!$A$7:$G$11,5,FALSE),VLOOKUP("Default",'Regional Assumptions'!$A$7:$G$11,5,FALSE)))</f>
        <v>20377500</v>
      </c>
      <c r="AL4" s="15">
        <f>IF($L4="","",$L4*IFERROR(VLOOKUP($B4,'Regional Assumptions'!$A$7:$G$11,2,FALSE),VLOOKUP("Default",'Regional Assumptions'!$A$7:$G$11,2,FALSE)))</f>
        <v>2017372500</v>
      </c>
      <c r="AM4" s="15">
        <f>IF($L4="","",$L4*IFERROR(VLOOKUP($B4,'Regional Assumptions'!$A$7:$G$11,3,FALSE),VLOOKUP("Default",'Regional Assumptions'!$A$7:$G$11,3,FALSE)))</f>
        <v>2017372500</v>
      </c>
      <c r="AN4" s="15">
        <f>IF($L4="","",$L4*IFERROR(VLOOKUP($B4,'Regional Assumptions'!$A$7:$G$11,4,FALSE),VLOOKUP("Default",'Regional Assumptions'!$A$7:$G$11,4,FALSE)))</f>
        <v>2017372500</v>
      </c>
      <c r="AO4" s="15">
        <f>IF($L4="","",$L4*IFERROR(VLOOKUP($B4,'Regional Assumptions'!$A$7:$G$11,5,FALSE),VLOOKUP("Default",'Regional Assumptions'!$A$7:$G$11,5,FALSE)))</f>
        <v>2017372500</v>
      </c>
      <c r="AP4" s="14">
        <f>IF($F4="","",$F4*IFERROR(VLOOKUP($B4,'Regional Assumptions'!$A$7:$G$11,2,FALSE),VLOOKUP("Default",'Regional Assumptions'!$A$7:$G$11,2,FALSE)))</f>
        <v>4050000</v>
      </c>
      <c r="AQ4" s="14">
        <f>IF($F4="","",$F4*IFERROR(VLOOKUP($B4,'Regional Assumptions'!$A$7:$G$11,3,FALSE),VLOOKUP("Default",'Regional Assumptions'!$A$7:$G$11,3,FALSE)))</f>
        <v>4050000</v>
      </c>
      <c r="AR4" s="14">
        <f>IF($F4="","",$F4*IFERROR(VLOOKUP($B4,'Regional Assumptions'!$A$7:$G$11,4,FALSE),VLOOKUP("Default",'Regional Assumptions'!$A$7:$G$11,4,FALSE)))</f>
        <v>4050000</v>
      </c>
      <c r="AS4" s="14">
        <f>IF($F4="","",$F4*IFERROR(VLOOKUP($B4,'Regional Assumptions'!$A$7:$G$11,5,FALSE),VLOOKUP("Default",'Regional Assumptions'!$A$7:$G$11,5,FALSE)))</f>
        <v>4050000</v>
      </c>
      <c r="AT4" s="15">
        <f>IF($G4="","",$G4*IFERROR(VLOOKUP($B4,'Regional Assumptions'!$A$7:$G$11,2,FALSE),VLOOKUP("Default",'Regional Assumptions'!$A$7:$G$11,2,FALSE)))</f>
        <v>202500000</v>
      </c>
      <c r="AU4" s="15">
        <f>IF($G4="","",$G4*IFERROR(VLOOKUP($B4,'Regional Assumptions'!$A$7:$G$11,3,FALSE),VLOOKUP("Default",'Regional Assumptions'!$A$7:$G$11,3,FALSE)))</f>
        <v>202500000</v>
      </c>
      <c r="AV4" s="15">
        <f>IF($G4="","",$G4*IFERROR(VLOOKUP($B4,'Regional Assumptions'!$A$7:$G$11,4,FALSE),VLOOKUP("Default",'Regional Assumptions'!$A$7:$G$11,4,FALSE)))</f>
        <v>202500000</v>
      </c>
      <c r="AW4" s="15">
        <f>IF($G4="","",$G4*IFERROR(VLOOKUP($B4,'Regional Assumptions'!$A$7:$G$11,5,FALSE),VLOOKUP("Default",'Regional Assumptions'!$A$7:$G$11,5,FALSE)))</f>
        <v>202500000</v>
      </c>
      <c r="AX4" s="10">
        <f t="shared" si="15"/>
        <v>1</v>
      </c>
      <c r="AY4" s="9" t="str">
        <f t="shared" si="16"/>
        <v>Proxy split (assumption shares)</v>
      </c>
      <c r="AZ4" s="9" t="str">
        <f>'Regional Assumptions'!$B$2</f>
        <v>NA=US+Canada; EU=Europe; JP=Japan; ROW=Rest of World</v>
      </c>
    </row>
    <row r="5" spans="1:52" x14ac:dyDescent="0.35">
      <c r="A5" t="s">
        <v>306</v>
      </c>
      <c r="B5" t="s">
        <v>282</v>
      </c>
      <c r="C5" t="s">
        <v>28</v>
      </c>
      <c r="D5" s="8">
        <v>33356</v>
      </c>
      <c r="E5" t="s">
        <v>283</v>
      </c>
      <c r="F5" s="26">
        <v>2700000</v>
      </c>
      <c r="G5" s="7">
        <v>81000000</v>
      </c>
      <c r="H5" t="s">
        <v>17</v>
      </c>
      <c r="I5" t="s">
        <v>39</v>
      </c>
      <c r="J5" t="s">
        <v>282</v>
      </c>
      <c r="K5" s="14">
        <v>10620000</v>
      </c>
      <c r="L5" s="15">
        <v>1582380000</v>
      </c>
      <c r="M5" s="12" t="s">
        <v>429</v>
      </c>
      <c r="N5" s="10">
        <v>1990</v>
      </c>
      <c r="O5" s="10">
        <v>1997</v>
      </c>
      <c r="P5" s="16">
        <v>149.99</v>
      </c>
      <c r="Q5" s="16"/>
      <c r="R5" s="16">
        <f t="shared" si="0"/>
        <v>149.99</v>
      </c>
      <c r="S5" t="s">
        <v>430</v>
      </c>
      <c r="T5" s="16">
        <f t="shared" si="1"/>
        <v>149</v>
      </c>
      <c r="U5" s="17">
        <f t="shared" si="2"/>
        <v>0.99339955997066465</v>
      </c>
      <c r="V5" s="19" t="str">
        <f t="shared" si="3"/>
        <v>AsOf</v>
      </c>
      <c r="W5" s="19" t="str">
        <f t="shared" si="4"/>
        <v>Month</v>
      </c>
      <c r="X5" s="20">
        <f t="shared" si="5"/>
        <v>35155</v>
      </c>
      <c r="Y5" s="19" t="str">
        <f t="shared" si="6"/>
        <v>Ended</v>
      </c>
      <c r="Z5" s="21">
        <f t="shared" si="7"/>
        <v>7</v>
      </c>
      <c r="AA5" s="21">
        <f t="shared" si="8"/>
        <v>0</v>
      </c>
      <c r="AB5" s="21">
        <f t="shared" si="9"/>
        <v>0</v>
      </c>
      <c r="AC5" s="19" t="str">
        <f t="shared" si="10"/>
        <v>Proxy (input)</v>
      </c>
      <c r="AD5" s="21">
        <f t="shared" si="11"/>
        <v>0</v>
      </c>
      <c r="AE5" s="19" t="str">
        <f t="shared" si="12"/>
        <v>Proxy (input)</v>
      </c>
      <c r="AF5" s="16">
        <f t="shared" si="13"/>
        <v>30</v>
      </c>
      <c r="AG5" s="22">
        <f t="shared" si="14"/>
        <v>0.25423728813559321</v>
      </c>
      <c r="AH5" s="14">
        <f>IF($K5="","",$K5*IFERROR(VLOOKUP($B5,'Regional Assumptions'!$A$7:$G$11,2,FALSE),VLOOKUP("Default",'Regional Assumptions'!$A$7:$G$11,2,FALSE)))</f>
        <v>2655000</v>
      </c>
      <c r="AI5" s="14">
        <f>IF($K5="","",$K5*IFERROR(VLOOKUP($B5,'Regional Assumptions'!$A$7:$G$11,3,FALSE),VLOOKUP("Default",'Regional Assumptions'!$A$7:$G$11,3,FALSE)))</f>
        <v>2655000</v>
      </c>
      <c r="AJ5" s="14">
        <f>IF($K5="","",$K5*IFERROR(VLOOKUP($B5,'Regional Assumptions'!$A$7:$G$11,4,FALSE),VLOOKUP("Default",'Regional Assumptions'!$A$7:$G$11,4,FALSE)))</f>
        <v>2655000</v>
      </c>
      <c r="AK5" s="14">
        <f>IF($K5="","",$K5*IFERROR(VLOOKUP($B5,'Regional Assumptions'!$A$7:$G$11,5,FALSE),VLOOKUP("Default",'Regional Assumptions'!$A$7:$G$11,5,FALSE)))</f>
        <v>2655000</v>
      </c>
      <c r="AL5" s="15">
        <f>IF($L5="","",$L5*IFERROR(VLOOKUP($B5,'Regional Assumptions'!$A$7:$G$11,2,FALSE),VLOOKUP("Default",'Regional Assumptions'!$A$7:$G$11,2,FALSE)))</f>
        <v>395595000</v>
      </c>
      <c r="AM5" s="15">
        <f>IF($L5="","",$L5*IFERROR(VLOOKUP($B5,'Regional Assumptions'!$A$7:$G$11,3,FALSE),VLOOKUP("Default",'Regional Assumptions'!$A$7:$G$11,3,FALSE)))</f>
        <v>395595000</v>
      </c>
      <c r="AN5" s="15">
        <f>IF($L5="","",$L5*IFERROR(VLOOKUP($B5,'Regional Assumptions'!$A$7:$G$11,4,FALSE),VLOOKUP("Default",'Regional Assumptions'!$A$7:$G$11,4,FALSE)))</f>
        <v>395595000</v>
      </c>
      <c r="AO5" s="15">
        <f>IF($L5="","",$L5*IFERROR(VLOOKUP($B5,'Regional Assumptions'!$A$7:$G$11,5,FALSE),VLOOKUP("Default",'Regional Assumptions'!$A$7:$G$11,5,FALSE)))</f>
        <v>395595000</v>
      </c>
      <c r="AP5" s="14">
        <f>IF($F5="","",$F5*IFERROR(VLOOKUP($B5,'Regional Assumptions'!$A$7:$G$11,2,FALSE),VLOOKUP("Default",'Regional Assumptions'!$A$7:$G$11,2,FALSE)))</f>
        <v>675000</v>
      </c>
      <c r="AQ5" s="14">
        <f>IF($F5="","",$F5*IFERROR(VLOOKUP($B5,'Regional Assumptions'!$A$7:$G$11,3,FALSE),VLOOKUP("Default",'Regional Assumptions'!$A$7:$G$11,3,FALSE)))</f>
        <v>675000</v>
      </c>
      <c r="AR5" s="14">
        <f>IF($F5="","",$F5*IFERROR(VLOOKUP($B5,'Regional Assumptions'!$A$7:$G$11,4,FALSE),VLOOKUP("Default",'Regional Assumptions'!$A$7:$G$11,4,FALSE)))</f>
        <v>675000</v>
      </c>
      <c r="AS5" s="14">
        <f>IF($F5="","",$F5*IFERROR(VLOOKUP($B5,'Regional Assumptions'!$A$7:$G$11,5,FALSE),VLOOKUP("Default",'Regional Assumptions'!$A$7:$G$11,5,FALSE)))</f>
        <v>675000</v>
      </c>
      <c r="AT5" s="15">
        <f>IF($G5="","",$G5*IFERROR(VLOOKUP($B5,'Regional Assumptions'!$A$7:$G$11,2,FALSE),VLOOKUP("Default",'Regional Assumptions'!$A$7:$G$11,2,FALSE)))</f>
        <v>20250000</v>
      </c>
      <c r="AU5" s="15">
        <f>IF($G5="","",$G5*IFERROR(VLOOKUP($B5,'Regional Assumptions'!$A$7:$G$11,3,FALSE),VLOOKUP("Default",'Regional Assumptions'!$A$7:$G$11,3,FALSE)))</f>
        <v>20250000</v>
      </c>
      <c r="AV5" s="15">
        <f>IF($G5="","",$G5*IFERROR(VLOOKUP($B5,'Regional Assumptions'!$A$7:$G$11,4,FALSE),VLOOKUP("Default",'Regional Assumptions'!$A$7:$G$11,4,FALSE)))</f>
        <v>20250000</v>
      </c>
      <c r="AW5" s="15">
        <f>IF($G5="","",$G5*IFERROR(VLOOKUP($B5,'Regional Assumptions'!$A$7:$G$11,5,FALSE),VLOOKUP("Default",'Regional Assumptions'!$A$7:$G$11,5,FALSE)))</f>
        <v>20250000</v>
      </c>
      <c r="AX5" s="10">
        <f t="shared" si="15"/>
        <v>1</v>
      </c>
      <c r="AY5" s="9" t="str">
        <f t="shared" si="16"/>
        <v>Proxy split (assumption shares)</v>
      </c>
      <c r="AZ5" s="9" t="str">
        <f>'Regional Assumptions'!$B$2</f>
        <v>NA=US+Canada; EU=Europe; JP=Japan; ROW=Rest of World</v>
      </c>
    </row>
    <row r="6" spans="1:52" x14ac:dyDescent="0.35">
      <c r="A6" t="s">
        <v>51</v>
      </c>
      <c r="B6" t="s">
        <v>12</v>
      </c>
      <c r="C6" t="s">
        <v>52</v>
      </c>
      <c r="D6" s="8">
        <v>37213</v>
      </c>
      <c r="E6" t="s">
        <v>53</v>
      </c>
      <c r="F6" s="26">
        <v>7400000</v>
      </c>
      <c r="G6" s="7">
        <v>370000000</v>
      </c>
      <c r="H6" t="s">
        <v>55</v>
      </c>
      <c r="I6" t="s">
        <v>39</v>
      </c>
      <c r="J6" t="s">
        <v>431</v>
      </c>
      <c r="K6" s="14">
        <v>21740000</v>
      </c>
      <c r="L6" s="15">
        <v>4326260000</v>
      </c>
      <c r="M6" s="12" t="s">
        <v>423</v>
      </c>
      <c r="N6" s="10">
        <v>2001</v>
      </c>
      <c r="O6" s="10">
        <v>2007</v>
      </c>
      <c r="P6" s="16">
        <v>199</v>
      </c>
      <c r="Q6" s="16"/>
      <c r="R6" s="16">
        <f t="shared" si="0"/>
        <v>199</v>
      </c>
      <c r="S6" t="s">
        <v>432</v>
      </c>
      <c r="T6" s="16">
        <f t="shared" si="1"/>
        <v>199</v>
      </c>
      <c r="U6" s="17">
        <f t="shared" si="2"/>
        <v>1</v>
      </c>
      <c r="V6" s="19" t="str">
        <f t="shared" si="3"/>
        <v>Lifetime</v>
      </c>
      <c r="W6" s="19" t="str">
        <f t="shared" si="4"/>
        <v/>
      </c>
      <c r="X6" s="20" t="str">
        <f t="shared" si="5"/>
        <v/>
      </c>
      <c r="Y6" s="19" t="str">
        <f t="shared" si="6"/>
        <v>Ended</v>
      </c>
      <c r="Z6" s="21">
        <f t="shared" si="7"/>
        <v>6</v>
      </c>
      <c r="AA6" s="21">
        <f t="shared" si="8"/>
        <v>0</v>
      </c>
      <c r="AB6" s="21">
        <f t="shared" si="9"/>
        <v>0</v>
      </c>
      <c r="AC6" s="19" t="str">
        <f t="shared" si="10"/>
        <v>Proxy (input)</v>
      </c>
      <c r="AD6" s="21">
        <f t="shared" si="11"/>
        <v>0</v>
      </c>
      <c r="AE6" s="19" t="str">
        <f t="shared" si="12"/>
        <v>Proxy (input)</v>
      </c>
      <c r="AF6" s="16">
        <f t="shared" si="13"/>
        <v>50</v>
      </c>
      <c r="AG6" s="22">
        <f t="shared" si="14"/>
        <v>0.34038638454461823</v>
      </c>
      <c r="AH6" s="14">
        <f>IF($K6="","",$K6*IFERROR(VLOOKUP($B6,'Regional Assumptions'!$A$7:$G$11,2,FALSE),VLOOKUP("Default",'Regional Assumptions'!$A$7:$G$11,2,FALSE)))</f>
        <v>5435000</v>
      </c>
      <c r="AI6" s="14">
        <f>IF($K6="","",$K6*IFERROR(VLOOKUP($B6,'Regional Assumptions'!$A$7:$G$11,3,FALSE),VLOOKUP("Default",'Regional Assumptions'!$A$7:$G$11,3,FALSE)))</f>
        <v>5435000</v>
      </c>
      <c r="AJ6" s="14">
        <f>IF($K6="","",$K6*IFERROR(VLOOKUP($B6,'Regional Assumptions'!$A$7:$G$11,4,FALSE),VLOOKUP("Default",'Regional Assumptions'!$A$7:$G$11,4,FALSE)))</f>
        <v>5435000</v>
      </c>
      <c r="AK6" s="14">
        <f>IF($K6="","",$K6*IFERROR(VLOOKUP($B6,'Regional Assumptions'!$A$7:$G$11,5,FALSE),VLOOKUP("Default",'Regional Assumptions'!$A$7:$G$11,5,FALSE)))</f>
        <v>5435000</v>
      </c>
      <c r="AL6" s="15">
        <f>IF($L6="","",$L6*IFERROR(VLOOKUP($B6,'Regional Assumptions'!$A$7:$G$11,2,FALSE),VLOOKUP("Default",'Regional Assumptions'!$A$7:$G$11,2,FALSE)))</f>
        <v>1081565000</v>
      </c>
      <c r="AM6" s="15">
        <f>IF($L6="","",$L6*IFERROR(VLOOKUP($B6,'Regional Assumptions'!$A$7:$G$11,3,FALSE),VLOOKUP("Default",'Regional Assumptions'!$A$7:$G$11,3,FALSE)))</f>
        <v>1081565000</v>
      </c>
      <c r="AN6" s="15">
        <f>IF($L6="","",$L6*IFERROR(VLOOKUP($B6,'Regional Assumptions'!$A$7:$G$11,4,FALSE),VLOOKUP("Default",'Regional Assumptions'!$A$7:$G$11,4,FALSE)))</f>
        <v>1081565000</v>
      </c>
      <c r="AO6" s="15">
        <f>IF($L6="","",$L6*IFERROR(VLOOKUP($B6,'Regional Assumptions'!$A$7:$G$11,5,FALSE),VLOOKUP("Default",'Regional Assumptions'!$A$7:$G$11,5,FALSE)))</f>
        <v>1081565000</v>
      </c>
      <c r="AP6" s="14">
        <f>IF($F6="","",$F6*IFERROR(VLOOKUP($B6,'Regional Assumptions'!$A$7:$G$11,2,FALSE),VLOOKUP("Default",'Regional Assumptions'!$A$7:$G$11,2,FALSE)))</f>
        <v>1850000</v>
      </c>
      <c r="AQ6" s="14">
        <f>IF($F6="","",$F6*IFERROR(VLOOKUP($B6,'Regional Assumptions'!$A$7:$G$11,3,FALSE),VLOOKUP("Default",'Regional Assumptions'!$A$7:$G$11,3,FALSE)))</f>
        <v>1850000</v>
      </c>
      <c r="AR6" s="14">
        <f>IF($F6="","",$F6*IFERROR(VLOOKUP($B6,'Regional Assumptions'!$A$7:$G$11,4,FALSE),VLOOKUP("Default",'Regional Assumptions'!$A$7:$G$11,4,FALSE)))</f>
        <v>1850000</v>
      </c>
      <c r="AS6" s="14">
        <f>IF($F6="","",$F6*IFERROR(VLOOKUP($B6,'Regional Assumptions'!$A$7:$G$11,5,FALSE),VLOOKUP("Default",'Regional Assumptions'!$A$7:$G$11,5,FALSE)))</f>
        <v>1850000</v>
      </c>
      <c r="AT6" s="15">
        <f>IF($G6="","",$G6*IFERROR(VLOOKUP($B6,'Regional Assumptions'!$A$7:$G$11,2,FALSE),VLOOKUP("Default",'Regional Assumptions'!$A$7:$G$11,2,FALSE)))</f>
        <v>92500000</v>
      </c>
      <c r="AU6" s="15">
        <f>IF($G6="","",$G6*IFERROR(VLOOKUP($B6,'Regional Assumptions'!$A$7:$G$11,3,FALSE),VLOOKUP("Default",'Regional Assumptions'!$A$7:$G$11,3,FALSE)))</f>
        <v>92500000</v>
      </c>
      <c r="AV6" s="15">
        <f>IF($G6="","",$G6*IFERROR(VLOOKUP($B6,'Regional Assumptions'!$A$7:$G$11,4,FALSE),VLOOKUP("Default",'Regional Assumptions'!$A$7:$G$11,4,FALSE)))</f>
        <v>92500000</v>
      </c>
      <c r="AW6" s="15">
        <f>IF($G6="","",$G6*IFERROR(VLOOKUP($B6,'Regional Assumptions'!$A$7:$G$11,5,FALSE),VLOOKUP("Default",'Regional Assumptions'!$A$7:$G$11,5,FALSE)))</f>
        <v>92500000</v>
      </c>
      <c r="AX6" s="10">
        <f t="shared" si="15"/>
        <v>1</v>
      </c>
      <c r="AY6" s="9" t="str">
        <f t="shared" si="16"/>
        <v>Proxy split (assumption shares)</v>
      </c>
      <c r="AZ6" s="9" t="str">
        <f>'Regional Assumptions'!$B$2</f>
        <v>NA=US+Canada; EU=Europe; JP=Japan; ROW=Rest of World</v>
      </c>
    </row>
    <row r="7" spans="1:52" x14ac:dyDescent="0.35">
      <c r="A7" t="s">
        <v>433</v>
      </c>
      <c r="B7" t="s">
        <v>282</v>
      </c>
      <c r="C7" t="s">
        <v>28</v>
      </c>
      <c r="D7" s="8">
        <v>32734</v>
      </c>
      <c r="E7" t="s">
        <v>283</v>
      </c>
      <c r="F7" s="26">
        <v>15000000</v>
      </c>
      <c r="G7" s="7">
        <v>900000000</v>
      </c>
      <c r="H7" t="s">
        <v>17</v>
      </c>
      <c r="I7" t="s">
        <v>39</v>
      </c>
      <c r="J7" t="s">
        <v>422</v>
      </c>
      <c r="K7" s="14">
        <v>30750000</v>
      </c>
      <c r="L7" s="15">
        <v>5811750000</v>
      </c>
      <c r="M7" s="12" t="s">
        <v>434</v>
      </c>
      <c r="N7" s="10">
        <v>1989</v>
      </c>
      <c r="O7" s="10">
        <v>1997</v>
      </c>
      <c r="P7" s="16">
        <v>189</v>
      </c>
      <c r="Q7" s="16"/>
      <c r="R7" s="16">
        <f t="shared" si="0"/>
        <v>189</v>
      </c>
      <c r="S7" t="s">
        <v>435</v>
      </c>
      <c r="T7" s="16">
        <f t="shared" si="1"/>
        <v>189</v>
      </c>
      <c r="U7" s="17">
        <f t="shared" si="2"/>
        <v>1</v>
      </c>
      <c r="V7" s="19" t="str">
        <f t="shared" si="3"/>
        <v>Lifetime</v>
      </c>
      <c r="W7" s="19" t="str">
        <f t="shared" si="4"/>
        <v/>
      </c>
      <c r="X7" s="20" t="str">
        <f t="shared" si="5"/>
        <v/>
      </c>
      <c r="Y7" s="19" t="str">
        <f t="shared" si="6"/>
        <v>Ended</v>
      </c>
      <c r="Z7" s="21">
        <f t="shared" si="7"/>
        <v>8</v>
      </c>
      <c r="AA7" s="21">
        <f t="shared" si="8"/>
        <v>0</v>
      </c>
      <c r="AB7" s="21">
        <f t="shared" si="9"/>
        <v>0</v>
      </c>
      <c r="AC7" s="19" t="str">
        <f t="shared" si="10"/>
        <v>Proxy (input)</v>
      </c>
      <c r="AD7" s="21">
        <f t="shared" si="11"/>
        <v>0</v>
      </c>
      <c r="AE7" s="19" t="str">
        <f t="shared" si="12"/>
        <v>Proxy (input)</v>
      </c>
      <c r="AF7" s="16">
        <f t="shared" si="13"/>
        <v>60</v>
      </c>
      <c r="AG7" s="22">
        <f t="shared" si="14"/>
        <v>0.48780487804878048</v>
      </c>
      <c r="AH7" s="14">
        <f>IF($K7="","",$K7*IFERROR(VLOOKUP($B7,'Regional Assumptions'!$A$7:$G$11,2,FALSE),VLOOKUP("Default",'Regional Assumptions'!$A$7:$G$11,2,FALSE)))</f>
        <v>7687500</v>
      </c>
      <c r="AI7" s="14">
        <f>IF($K7="","",$K7*IFERROR(VLOOKUP($B7,'Regional Assumptions'!$A$7:$G$11,3,FALSE),VLOOKUP("Default",'Regional Assumptions'!$A$7:$G$11,3,FALSE)))</f>
        <v>7687500</v>
      </c>
      <c r="AJ7" s="14">
        <f>IF($K7="","",$K7*IFERROR(VLOOKUP($B7,'Regional Assumptions'!$A$7:$G$11,4,FALSE),VLOOKUP("Default",'Regional Assumptions'!$A$7:$G$11,4,FALSE)))</f>
        <v>7687500</v>
      </c>
      <c r="AK7" s="14">
        <f>IF($K7="","",$K7*IFERROR(VLOOKUP($B7,'Regional Assumptions'!$A$7:$G$11,5,FALSE),VLOOKUP("Default",'Regional Assumptions'!$A$7:$G$11,5,FALSE)))</f>
        <v>7687500</v>
      </c>
      <c r="AL7" s="15">
        <f>IF($L7="","",$L7*IFERROR(VLOOKUP($B7,'Regional Assumptions'!$A$7:$G$11,2,FALSE),VLOOKUP("Default",'Regional Assumptions'!$A$7:$G$11,2,FALSE)))</f>
        <v>1452937500</v>
      </c>
      <c r="AM7" s="15">
        <f>IF($L7="","",$L7*IFERROR(VLOOKUP($B7,'Regional Assumptions'!$A$7:$G$11,3,FALSE),VLOOKUP("Default",'Regional Assumptions'!$A$7:$G$11,3,FALSE)))</f>
        <v>1452937500</v>
      </c>
      <c r="AN7" s="15">
        <f>IF($L7="","",$L7*IFERROR(VLOOKUP($B7,'Regional Assumptions'!$A$7:$G$11,4,FALSE),VLOOKUP("Default",'Regional Assumptions'!$A$7:$G$11,4,FALSE)))</f>
        <v>1452937500</v>
      </c>
      <c r="AO7" s="15">
        <f>IF($L7="","",$L7*IFERROR(VLOOKUP($B7,'Regional Assumptions'!$A$7:$G$11,5,FALSE),VLOOKUP("Default",'Regional Assumptions'!$A$7:$G$11,5,FALSE)))</f>
        <v>1452937500</v>
      </c>
      <c r="AP7" s="14">
        <f>IF($F7="","",$F7*IFERROR(VLOOKUP($B7,'Regional Assumptions'!$A$7:$G$11,2,FALSE),VLOOKUP("Default",'Regional Assumptions'!$A$7:$G$11,2,FALSE)))</f>
        <v>3750000</v>
      </c>
      <c r="AQ7" s="14">
        <f>IF($F7="","",$F7*IFERROR(VLOOKUP($B7,'Regional Assumptions'!$A$7:$G$11,3,FALSE),VLOOKUP("Default",'Regional Assumptions'!$A$7:$G$11,3,FALSE)))</f>
        <v>3750000</v>
      </c>
      <c r="AR7" s="14">
        <f>IF($F7="","",$F7*IFERROR(VLOOKUP($B7,'Regional Assumptions'!$A$7:$G$11,4,FALSE),VLOOKUP("Default",'Regional Assumptions'!$A$7:$G$11,4,FALSE)))</f>
        <v>3750000</v>
      </c>
      <c r="AS7" s="14">
        <f>IF($F7="","",$F7*IFERROR(VLOOKUP($B7,'Regional Assumptions'!$A$7:$G$11,5,FALSE),VLOOKUP("Default",'Regional Assumptions'!$A$7:$G$11,5,FALSE)))</f>
        <v>3750000</v>
      </c>
      <c r="AT7" s="15">
        <f>IF($G7="","",$G7*IFERROR(VLOOKUP($B7,'Regional Assumptions'!$A$7:$G$11,2,FALSE),VLOOKUP("Default",'Regional Assumptions'!$A$7:$G$11,2,FALSE)))</f>
        <v>225000000</v>
      </c>
      <c r="AU7" s="15">
        <f>IF($G7="","",$G7*IFERROR(VLOOKUP($B7,'Regional Assumptions'!$A$7:$G$11,3,FALSE),VLOOKUP("Default",'Regional Assumptions'!$A$7:$G$11,3,FALSE)))</f>
        <v>225000000</v>
      </c>
      <c r="AV7" s="15">
        <f>IF($G7="","",$G7*IFERROR(VLOOKUP($B7,'Regional Assumptions'!$A$7:$G$11,4,FALSE),VLOOKUP("Default",'Regional Assumptions'!$A$7:$G$11,4,FALSE)))</f>
        <v>225000000</v>
      </c>
      <c r="AW7" s="15">
        <f>IF($G7="","",$G7*IFERROR(VLOOKUP($B7,'Regional Assumptions'!$A$7:$G$11,5,FALSE),VLOOKUP("Default",'Regional Assumptions'!$A$7:$G$11,5,FALSE)))</f>
        <v>225000000</v>
      </c>
      <c r="AX7" s="10">
        <f t="shared" si="15"/>
        <v>1</v>
      </c>
      <c r="AY7" s="9" t="str">
        <f t="shared" si="16"/>
        <v>Proxy split (assumption shares)</v>
      </c>
      <c r="AZ7" s="9" t="str">
        <f>'Regional Assumptions'!$B$2</f>
        <v>NA=US+Canada; EU=Europe; JP=Japan; ROW=Rest of World</v>
      </c>
    </row>
    <row r="8" spans="1:52" x14ac:dyDescent="0.35">
      <c r="A8" t="s">
        <v>11</v>
      </c>
      <c r="B8" t="s">
        <v>12</v>
      </c>
      <c r="C8" t="s">
        <v>13</v>
      </c>
      <c r="D8" s="8">
        <v>31338</v>
      </c>
      <c r="E8" t="s">
        <v>14</v>
      </c>
      <c r="F8" s="26">
        <v>40240000</v>
      </c>
      <c r="G8" s="7">
        <v>1900000000</v>
      </c>
      <c r="H8" t="s">
        <v>17</v>
      </c>
      <c r="I8" t="s">
        <v>39</v>
      </c>
      <c r="J8" t="s">
        <v>12</v>
      </c>
      <c r="K8" s="14">
        <v>61910000</v>
      </c>
      <c r="L8" s="15">
        <v>12320090000</v>
      </c>
      <c r="M8" s="12" t="s">
        <v>423</v>
      </c>
      <c r="N8" s="10">
        <v>1985</v>
      </c>
      <c r="O8" s="10">
        <v>1995</v>
      </c>
      <c r="P8" s="16">
        <v>180</v>
      </c>
      <c r="Q8" s="16"/>
      <c r="R8" s="16">
        <f t="shared" si="0"/>
        <v>180</v>
      </c>
      <c r="S8" t="s">
        <v>436</v>
      </c>
      <c r="T8" s="16">
        <f t="shared" si="1"/>
        <v>199</v>
      </c>
      <c r="U8" s="17">
        <f t="shared" si="2"/>
        <v>1.1055555555555556</v>
      </c>
      <c r="V8" s="19" t="str">
        <f t="shared" si="3"/>
        <v>Lifetime</v>
      </c>
      <c r="W8" s="19" t="str">
        <f t="shared" si="4"/>
        <v/>
      </c>
      <c r="X8" s="20" t="str">
        <f t="shared" si="5"/>
        <v/>
      </c>
      <c r="Y8" s="19" t="str">
        <f t="shared" si="6"/>
        <v>Ended</v>
      </c>
      <c r="Z8" s="21">
        <f t="shared" si="7"/>
        <v>10</v>
      </c>
      <c r="AA8" s="21">
        <f t="shared" si="8"/>
        <v>0</v>
      </c>
      <c r="AB8" s="21">
        <f t="shared" si="9"/>
        <v>0</v>
      </c>
      <c r="AC8" s="19" t="str">
        <f t="shared" si="10"/>
        <v>Proxy (input)</v>
      </c>
      <c r="AD8" s="21">
        <f t="shared" si="11"/>
        <v>0</v>
      </c>
      <c r="AE8" s="19" t="str">
        <f t="shared" si="12"/>
        <v>Proxy (input)</v>
      </c>
      <c r="AF8" s="16">
        <f t="shared" si="13"/>
        <v>47.216699801192846</v>
      </c>
      <c r="AG8" s="22">
        <f t="shared" si="14"/>
        <v>0.64997577128089157</v>
      </c>
      <c r="AH8" s="14">
        <f>IF($K8="","",$K8*IFERROR(VLOOKUP($B8,'Regional Assumptions'!$A$7:$G$11,2,FALSE),VLOOKUP("Default",'Regional Assumptions'!$A$7:$G$11,2,FALSE)))</f>
        <v>15477500</v>
      </c>
      <c r="AI8" s="14">
        <f>IF($K8="","",$K8*IFERROR(VLOOKUP($B8,'Regional Assumptions'!$A$7:$G$11,3,FALSE),VLOOKUP("Default",'Regional Assumptions'!$A$7:$G$11,3,FALSE)))</f>
        <v>15477500</v>
      </c>
      <c r="AJ8" s="14">
        <f>IF($K8="","",$K8*IFERROR(VLOOKUP($B8,'Regional Assumptions'!$A$7:$G$11,4,FALSE),VLOOKUP("Default",'Regional Assumptions'!$A$7:$G$11,4,FALSE)))</f>
        <v>15477500</v>
      </c>
      <c r="AK8" s="14">
        <f>IF($K8="","",$K8*IFERROR(VLOOKUP($B8,'Regional Assumptions'!$A$7:$G$11,5,FALSE),VLOOKUP("Default",'Regional Assumptions'!$A$7:$G$11,5,FALSE)))</f>
        <v>15477500</v>
      </c>
      <c r="AL8" s="15">
        <f>IF($L8="","",$L8*IFERROR(VLOOKUP($B8,'Regional Assumptions'!$A$7:$G$11,2,FALSE),VLOOKUP("Default",'Regional Assumptions'!$A$7:$G$11,2,FALSE)))</f>
        <v>3080022500</v>
      </c>
      <c r="AM8" s="15">
        <f>IF($L8="","",$L8*IFERROR(VLOOKUP($B8,'Regional Assumptions'!$A$7:$G$11,3,FALSE),VLOOKUP("Default",'Regional Assumptions'!$A$7:$G$11,3,FALSE)))</f>
        <v>3080022500</v>
      </c>
      <c r="AN8" s="15">
        <f>IF($L8="","",$L8*IFERROR(VLOOKUP($B8,'Regional Assumptions'!$A$7:$G$11,4,FALSE),VLOOKUP("Default",'Regional Assumptions'!$A$7:$G$11,4,FALSE)))</f>
        <v>3080022500</v>
      </c>
      <c r="AO8" s="15">
        <f>IF($L8="","",$L8*IFERROR(VLOOKUP($B8,'Regional Assumptions'!$A$7:$G$11,5,FALSE),VLOOKUP("Default",'Regional Assumptions'!$A$7:$G$11,5,FALSE)))</f>
        <v>3080022500</v>
      </c>
      <c r="AP8" s="14">
        <f>IF($F8="","",$F8*IFERROR(VLOOKUP($B8,'Regional Assumptions'!$A$7:$G$11,2,FALSE),VLOOKUP("Default",'Regional Assumptions'!$A$7:$G$11,2,FALSE)))</f>
        <v>10060000</v>
      </c>
      <c r="AQ8" s="14">
        <f>IF($F8="","",$F8*IFERROR(VLOOKUP($B8,'Regional Assumptions'!$A$7:$G$11,3,FALSE),VLOOKUP("Default",'Regional Assumptions'!$A$7:$G$11,3,FALSE)))</f>
        <v>10060000</v>
      </c>
      <c r="AR8" s="14">
        <f>IF($F8="","",$F8*IFERROR(VLOOKUP($B8,'Regional Assumptions'!$A$7:$G$11,4,FALSE),VLOOKUP("Default",'Regional Assumptions'!$A$7:$G$11,4,FALSE)))</f>
        <v>10060000</v>
      </c>
      <c r="AS8" s="14">
        <f>IF($F8="","",$F8*IFERROR(VLOOKUP($B8,'Regional Assumptions'!$A$7:$G$11,5,FALSE),VLOOKUP("Default",'Regional Assumptions'!$A$7:$G$11,5,FALSE)))</f>
        <v>10060000</v>
      </c>
      <c r="AT8" s="15">
        <f>IF($G8="","",$G8*IFERROR(VLOOKUP($B8,'Regional Assumptions'!$A$7:$G$11,2,FALSE),VLOOKUP("Default",'Regional Assumptions'!$A$7:$G$11,2,FALSE)))</f>
        <v>475000000</v>
      </c>
      <c r="AU8" s="15">
        <f>IF($G8="","",$G8*IFERROR(VLOOKUP($B8,'Regional Assumptions'!$A$7:$G$11,3,FALSE),VLOOKUP("Default",'Regional Assumptions'!$A$7:$G$11,3,FALSE)))</f>
        <v>475000000</v>
      </c>
      <c r="AV8" s="15">
        <f>IF($G8="","",$G8*IFERROR(VLOOKUP($B8,'Regional Assumptions'!$A$7:$G$11,4,FALSE),VLOOKUP("Default",'Regional Assumptions'!$A$7:$G$11,4,FALSE)))</f>
        <v>475000000</v>
      </c>
      <c r="AW8" s="15">
        <f>IF($G8="","",$G8*IFERROR(VLOOKUP($B8,'Regional Assumptions'!$A$7:$G$11,5,FALSE),VLOOKUP("Default",'Regional Assumptions'!$A$7:$G$11,5,FALSE)))</f>
        <v>475000000</v>
      </c>
      <c r="AX8" s="10">
        <f t="shared" si="15"/>
        <v>1</v>
      </c>
      <c r="AY8" s="9" t="str">
        <f t="shared" si="16"/>
        <v>Proxy split (assumption shares)</v>
      </c>
      <c r="AZ8" s="9" t="str">
        <f>'Regional Assumptions'!$B$2</f>
        <v>NA=US+Canada; EU=Europe; JP=Japan; ROW=Rest of World</v>
      </c>
    </row>
    <row r="9" spans="1:52" x14ac:dyDescent="0.35">
      <c r="A9" t="s">
        <v>136</v>
      </c>
      <c r="B9" t="s">
        <v>12</v>
      </c>
      <c r="C9" t="s">
        <v>74</v>
      </c>
      <c r="D9" s="8">
        <v>40601</v>
      </c>
      <c r="E9" t="s">
        <v>138</v>
      </c>
      <c r="F9" s="26">
        <v>18900000</v>
      </c>
      <c r="G9" s="7">
        <v>945000000</v>
      </c>
      <c r="H9" t="s">
        <v>77</v>
      </c>
      <c r="I9" t="s">
        <v>39</v>
      </c>
      <c r="J9" t="s">
        <v>12</v>
      </c>
      <c r="K9" s="14">
        <v>75940000</v>
      </c>
      <c r="L9" s="15">
        <v>18909060000</v>
      </c>
      <c r="M9" s="12" t="s">
        <v>437</v>
      </c>
      <c r="N9" s="10">
        <v>2011</v>
      </c>
      <c r="O9" s="10">
        <v>2020</v>
      </c>
      <c r="P9" s="16">
        <v>249.99</v>
      </c>
      <c r="Q9" s="16"/>
      <c r="R9" s="16">
        <f t="shared" si="0"/>
        <v>249.99</v>
      </c>
      <c r="S9" t="s">
        <v>438</v>
      </c>
      <c r="T9" s="16">
        <f t="shared" si="1"/>
        <v>249</v>
      </c>
      <c r="U9" s="17">
        <f t="shared" si="2"/>
        <v>0.99603984159366366</v>
      </c>
      <c r="V9" s="19" t="str">
        <f t="shared" si="3"/>
        <v>AsOf</v>
      </c>
      <c r="W9" s="19" t="str">
        <f t="shared" si="4"/>
        <v>Day</v>
      </c>
      <c r="X9" s="20">
        <f t="shared" si="5"/>
        <v>44834</v>
      </c>
      <c r="Y9" s="19" t="str">
        <f t="shared" si="6"/>
        <v>Ended</v>
      </c>
      <c r="Z9" s="21">
        <f t="shared" si="7"/>
        <v>9</v>
      </c>
      <c r="AA9" s="21">
        <f t="shared" si="8"/>
        <v>0</v>
      </c>
      <c r="AB9" s="21">
        <f t="shared" si="9"/>
        <v>0</v>
      </c>
      <c r="AC9" s="19" t="str">
        <f t="shared" si="10"/>
        <v>Proxy (input)</v>
      </c>
      <c r="AD9" s="21">
        <f t="shared" si="11"/>
        <v>0</v>
      </c>
      <c r="AE9" s="19" t="str">
        <f t="shared" si="12"/>
        <v>Proxy (input)</v>
      </c>
      <c r="AF9" s="16">
        <f t="shared" si="13"/>
        <v>50</v>
      </c>
      <c r="AG9" s="22">
        <f t="shared" si="14"/>
        <v>0.24888069528575191</v>
      </c>
      <c r="AH9" s="14">
        <f>IF($K9="","",$K9*IFERROR(VLOOKUP($B9,'Regional Assumptions'!$A$7:$G$11,2,FALSE),VLOOKUP("Default",'Regional Assumptions'!$A$7:$G$11,2,FALSE)))</f>
        <v>18985000</v>
      </c>
      <c r="AI9" s="14">
        <f>IF($K9="","",$K9*IFERROR(VLOOKUP($B9,'Regional Assumptions'!$A$7:$G$11,3,FALSE),VLOOKUP("Default",'Regional Assumptions'!$A$7:$G$11,3,FALSE)))</f>
        <v>18985000</v>
      </c>
      <c r="AJ9" s="14">
        <f>IF($K9="","",$K9*IFERROR(VLOOKUP($B9,'Regional Assumptions'!$A$7:$G$11,4,FALSE),VLOOKUP("Default",'Regional Assumptions'!$A$7:$G$11,4,FALSE)))</f>
        <v>18985000</v>
      </c>
      <c r="AK9" s="14">
        <f>IF($K9="","",$K9*IFERROR(VLOOKUP($B9,'Regional Assumptions'!$A$7:$G$11,5,FALSE),VLOOKUP("Default",'Regional Assumptions'!$A$7:$G$11,5,FALSE)))</f>
        <v>18985000</v>
      </c>
      <c r="AL9" s="15">
        <f>IF($L9="","",$L9*IFERROR(VLOOKUP($B9,'Regional Assumptions'!$A$7:$G$11,2,FALSE),VLOOKUP("Default",'Regional Assumptions'!$A$7:$G$11,2,FALSE)))</f>
        <v>4727265000</v>
      </c>
      <c r="AM9" s="15">
        <f>IF($L9="","",$L9*IFERROR(VLOOKUP($B9,'Regional Assumptions'!$A$7:$G$11,3,FALSE),VLOOKUP("Default",'Regional Assumptions'!$A$7:$G$11,3,FALSE)))</f>
        <v>4727265000</v>
      </c>
      <c r="AN9" s="15">
        <f>IF($L9="","",$L9*IFERROR(VLOOKUP($B9,'Regional Assumptions'!$A$7:$G$11,4,FALSE),VLOOKUP("Default",'Regional Assumptions'!$A$7:$G$11,4,FALSE)))</f>
        <v>4727265000</v>
      </c>
      <c r="AO9" s="15">
        <f>IF($L9="","",$L9*IFERROR(VLOOKUP($B9,'Regional Assumptions'!$A$7:$G$11,5,FALSE),VLOOKUP("Default",'Regional Assumptions'!$A$7:$G$11,5,FALSE)))</f>
        <v>4727265000</v>
      </c>
      <c r="AP9" s="14">
        <f>IF($F9="","",$F9*IFERROR(VLOOKUP($B9,'Regional Assumptions'!$A$7:$G$11,2,FALSE),VLOOKUP("Default",'Regional Assumptions'!$A$7:$G$11,2,FALSE)))</f>
        <v>4725000</v>
      </c>
      <c r="AQ9" s="14">
        <f>IF($F9="","",$F9*IFERROR(VLOOKUP($B9,'Regional Assumptions'!$A$7:$G$11,3,FALSE),VLOOKUP("Default",'Regional Assumptions'!$A$7:$G$11,3,FALSE)))</f>
        <v>4725000</v>
      </c>
      <c r="AR9" s="14">
        <f>IF($F9="","",$F9*IFERROR(VLOOKUP($B9,'Regional Assumptions'!$A$7:$G$11,4,FALSE),VLOOKUP("Default",'Regional Assumptions'!$A$7:$G$11,4,FALSE)))</f>
        <v>4725000</v>
      </c>
      <c r="AS9" s="14">
        <f>IF($F9="","",$F9*IFERROR(VLOOKUP($B9,'Regional Assumptions'!$A$7:$G$11,5,FALSE),VLOOKUP("Default",'Regional Assumptions'!$A$7:$G$11,5,FALSE)))</f>
        <v>4725000</v>
      </c>
      <c r="AT9" s="15">
        <f>IF($G9="","",$G9*IFERROR(VLOOKUP($B9,'Regional Assumptions'!$A$7:$G$11,2,FALSE),VLOOKUP("Default",'Regional Assumptions'!$A$7:$G$11,2,FALSE)))</f>
        <v>236250000</v>
      </c>
      <c r="AU9" s="15">
        <f>IF($G9="","",$G9*IFERROR(VLOOKUP($B9,'Regional Assumptions'!$A$7:$G$11,3,FALSE),VLOOKUP("Default",'Regional Assumptions'!$A$7:$G$11,3,FALSE)))</f>
        <v>236250000</v>
      </c>
      <c r="AV9" s="15">
        <f>IF($G9="","",$G9*IFERROR(VLOOKUP($B9,'Regional Assumptions'!$A$7:$G$11,4,FALSE),VLOOKUP("Default",'Regional Assumptions'!$A$7:$G$11,4,FALSE)))</f>
        <v>236250000</v>
      </c>
      <c r="AW9" s="15">
        <f>IF($G9="","",$G9*IFERROR(VLOOKUP($B9,'Regional Assumptions'!$A$7:$G$11,5,FALSE),VLOOKUP("Default",'Regional Assumptions'!$A$7:$G$11,5,FALSE)))</f>
        <v>236250000</v>
      </c>
      <c r="AX9" s="10">
        <f t="shared" si="15"/>
        <v>1</v>
      </c>
      <c r="AY9" s="9" t="str">
        <f t="shared" si="16"/>
        <v>Proxy split (assumption shares)</v>
      </c>
      <c r="AZ9" s="9" t="str">
        <f>'Regional Assumptions'!$B$2</f>
        <v>NA=US+Canada; EU=Europe; JP=Japan; ROW=Rest of World</v>
      </c>
    </row>
    <row r="10" spans="1:52" x14ac:dyDescent="0.35">
      <c r="A10" t="s">
        <v>41</v>
      </c>
      <c r="B10" t="s">
        <v>12</v>
      </c>
      <c r="C10" t="s">
        <v>42</v>
      </c>
      <c r="D10" s="8">
        <v>35337</v>
      </c>
      <c r="E10" t="s">
        <v>43</v>
      </c>
      <c r="F10" s="26">
        <v>11910000</v>
      </c>
      <c r="G10" s="7">
        <v>715000000</v>
      </c>
      <c r="H10" t="s">
        <v>17</v>
      </c>
      <c r="I10" t="s">
        <v>39</v>
      </c>
      <c r="J10" t="s">
        <v>12</v>
      </c>
      <c r="K10" s="14">
        <v>32930000</v>
      </c>
      <c r="L10" s="15">
        <v>6553070000</v>
      </c>
      <c r="M10" s="12" t="s">
        <v>423</v>
      </c>
      <c r="N10" s="10">
        <v>1996</v>
      </c>
      <c r="O10" s="10">
        <v>2002</v>
      </c>
      <c r="P10" s="16">
        <v>199</v>
      </c>
      <c r="Q10" s="16"/>
      <c r="R10" s="16">
        <f t="shared" si="0"/>
        <v>199</v>
      </c>
      <c r="S10" t="s">
        <v>439</v>
      </c>
      <c r="T10" s="16">
        <f t="shared" si="1"/>
        <v>199</v>
      </c>
      <c r="U10" s="17">
        <f t="shared" si="2"/>
        <v>1</v>
      </c>
      <c r="V10" s="19" t="str">
        <f t="shared" si="3"/>
        <v>Lifetime</v>
      </c>
      <c r="W10" s="19" t="str">
        <f t="shared" si="4"/>
        <v/>
      </c>
      <c r="X10" s="20" t="str">
        <f t="shared" si="5"/>
        <v/>
      </c>
      <c r="Y10" s="19" t="str">
        <f t="shared" si="6"/>
        <v>Ended</v>
      </c>
      <c r="Z10" s="21">
        <f t="shared" si="7"/>
        <v>6</v>
      </c>
      <c r="AA10" s="21">
        <f t="shared" si="8"/>
        <v>0</v>
      </c>
      <c r="AB10" s="21">
        <f t="shared" si="9"/>
        <v>0</v>
      </c>
      <c r="AC10" s="19" t="str">
        <f t="shared" si="10"/>
        <v>Proxy (input)</v>
      </c>
      <c r="AD10" s="21">
        <f t="shared" si="11"/>
        <v>0</v>
      </c>
      <c r="AE10" s="19" t="str">
        <f t="shared" si="12"/>
        <v>Proxy (input)</v>
      </c>
      <c r="AF10" s="16">
        <f t="shared" si="13"/>
        <v>60.033585222502097</v>
      </c>
      <c r="AG10" s="22">
        <f t="shared" si="14"/>
        <v>0.36167628302459764</v>
      </c>
      <c r="AH10" s="14">
        <f>IF($K10="","",$K10*IFERROR(VLOOKUP($B10,'Regional Assumptions'!$A$7:$G$11,2,FALSE),VLOOKUP("Default",'Regional Assumptions'!$A$7:$G$11,2,FALSE)))</f>
        <v>8232500</v>
      </c>
      <c r="AI10" s="14">
        <f>IF($K10="","",$K10*IFERROR(VLOOKUP($B10,'Regional Assumptions'!$A$7:$G$11,3,FALSE),VLOOKUP("Default",'Regional Assumptions'!$A$7:$G$11,3,FALSE)))</f>
        <v>8232500</v>
      </c>
      <c r="AJ10" s="14">
        <f>IF($K10="","",$K10*IFERROR(VLOOKUP($B10,'Regional Assumptions'!$A$7:$G$11,4,FALSE),VLOOKUP("Default",'Regional Assumptions'!$A$7:$G$11,4,FALSE)))</f>
        <v>8232500</v>
      </c>
      <c r="AK10" s="14">
        <f>IF($K10="","",$K10*IFERROR(VLOOKUP($B10,'Regional Assumptions'!$A$7:$G$11,5,FALSE),VLOOKUP("Default",'Regional Assumptions'!$A$7:$G$11,5,FALSE)))</f>
        <v>8232500</v>
      </c>
      <c r="AL10" s="15">
        <f>IF($L10="","",$L10*IFERROR(VLOOKUP($B10,'Regional Assumptions'!$A$7:$G$11,2,FALSE),VLOOKUP("Default",'Regional Assumptions'!$A$7:$G$11,2,FALSE)))</f>
        <v>1638267500</v>
      </c>
      <c r="AM10" s="15">
        <f>IF($L10="","",$L10*IFERROR(VLOOKUP($B10,'Regional Assumptions'!$A$7:$G$11,3,FALSE),VLOOKUP("Default",'Regional Assumptions'!$A$7:$G$11,3,FALSE)))</f>
        <v>1638267500</v>
      </c>
      <c r="AN10" s="15">
        <f>IF($L10="","",$L10*IFERROR(VLOOKUP($B10,'Regional Assumptions'!$A$7:$G$11,4,FALSE),VLOOKUP("Default",'Regional Assumptions'!$A$7:$G$11,4,FALSE)))</f>
        <v>1638267500</v>
      </c>
      <c r="AO10" s="15">
        <f>IF($L10="","",$L10*IFERROR(VLOOKUP($B10,'Regional Assumptions'!$A$7:$G$11,5,FALSE),VLOOKUP("Default",'Regional Assumptions'!$A$7:$G$11,5,FALSE)))</f>
        <v>1638267500</v>
      </c>
      <c r="AP10" s="14">
        <f>IF($F10="","",$F10*IFERROR(VLOOKUP($B10,'Regional Assumptions'!$A$7:$G$11,2,FALSE),VLOOKUP("Default",'Regional Assumptions'!$A$7:$G$11,2,FALSE)))</f>
        <v>2977500</v>
      </c>
      <c r="AQ10" s="14">
        <f>IF($F10="","",$F10*IFERROR(VLOOKUP($B10,'Regional Assumptions'!$A$7:$G$11,3,FALSE),VLOOKUP("Default",'Regional Assumptions'!$A$7:$G$11,3,FALSE)))</f>
        <v>2977500</v>
      </c>
      <c r="AR10" s="14">
        <f>IF($F10="","",$F10*IFERROR(VLOOKUP($B10,'Regional Assumptions'!$A$7:$G$11,4,FALSE),VLOOKUP("Default",'Regional Assumptions'!$A$7:$G$11,4,FALSE)))</f>
        <v>2977500</v>
      </c>
      <c r="AS10" s="14">
        <f>IF($F10="","",$F10*IFERROR(VLOOKUP($B10,'Regional Assumptions'!$A$7:$G$11,5,FALSE),VLOOKUP("Default",'Regional Assumptions'!$A$7:$G$11,5,FALSE)))</f>
        <v>2977500</v>
      </c>
      <c r="AT10" s="15">
        <f>IF($G10="","",$G10*IFERROR(VLOOKUP($B10,'Regional Assumptions'!$A$7:$G$11,2,FALSE),VLOOKUP("Default",'Regional Assumptions'!$A$7:$G$11,2,FALSE)))</f>
        <v>178750000</v>
      </c>
      <c r="AU10" s="15">
        <f>IF($G10="","",$G10*IFERROR(VLOOKUP($B10,'Regional Assumptions'!$A$7:$G$11,3,FALSE),VLOOKUP("Default",'Regional Assumptions'!$A$7:$G$11,3,FALSE)))</f>
        <v>178750000</v>
      </c>
      <c r="AV10" s="15">
        <f>IF($G10="","",$G10*IFERROR(VLOOKUP($B10,'Regional Assumptions'!$A$7:$G$11,4,FALSE),VLOOKUP("Default",'Regional Assumptions'!$A$7:$G$11,4,FALSE)))</f>
        <v>178750000</v>
      </c>
      <c r="AW10" s="15">
        <f>IF($G10="","",$G10*IFERROR(VLOOKUP($B10,'Regional Assumptions'!$A$7:$G$11,5,FALSE),VLOOKUP("Default",'Regional Assumptions'!$A$7:$G$11,5,FALSE)))</f>
        <v>178750000</v>
      </c>
      <c r="AX10" s="10">
        <f t="shared" si="15"/>
        <v>1</v>
      </c>
      <c r="AY10" s="9" t="str">
        <f t="shared" si="16"/>
        <v>Proxy split (assumption shares)</v>
      </c>
      <c r="AZ10" s="9" t="str">
        <f>'Regional Assumptions'!$B$2</f>
        <v>NA=US+Canada; EU=Europe; JP=Japan; ROW=Rest of World</v>
      </c>
    </row>
    <row r="11" spans="1:52" x14ac:dyDescent="0.35">
      <c r="A11" t="s">
        <v>126</v>
      </c>
      <c r="B11" t="s">
        <v>12</v>
      </c>
      <c r="C11" t="s">
        <v>67</v>
      </c>
      <c r="D11" s="8">
        <v>38312</v>
      </c>
      <c r="E11" t="s">
        <v>128</v>
      </c>
      <c r="F11" s="26">
        <v>23900000</v>
      </c>
      <c r="G11" s="7">
        <v>956000000</v>
      </c>
      <c r="H11" t="s">
        <v>130</v>
      </c>
      <c r="I11" t="s">
        <v>39</v>
      </c>
      <c r="J11" t="s">
        <v>12</v>
      </c>
      <c r="K11" s="14">
        <v>154020000</v>
      </c>
      <c r="L11" s="15">
        <v>22948980000</v>
      </c>
      <c r="M11" s="12" t="s">
        <v>423</v>
      </c>
      <c r="N11" s="10">
        <v>2004</v>
      </c>
      <c r="O11" s="10">
        <v>2014</v>
      </c>
      <c r="P11" s="16">
        <v>149.99</v>
      </c>
      <c r="Q11" s="16"/>
      <c r="R11" s="16">
        <f t="shared" si="0"/>
        <v>149.99</v>
      </c>
      <c r="S11" t="s">
        <v>440</v>
      </c>
      <c r="T11" s="16">
        <f t="shared" si="1"/>
        <v>149</v>
      </c>
      <c r="U11" s="17">
        <f t="shared" si="2"/>
        <v>0.99339955997066465</v>
      </c>
      <c r="V11" s="19" t="str">
        <f t="shared" si="3"/>
        <v>Lifetime</v>
      </c>
      <c r="W11" s="19" t="str">
        <f t="shared" si="4"/>
        <v/>
      </c>
      <c r="X11" s="20" t="str">
        <f t="shared" si="5"/>
        <v/>
      </c>
      <c r="Y11" s="19" t="str">
        <f t="shared" si="6"/>
        <v>Ended</v>
      </c>
      <c r="Z11" s="21">
        <f t="shared" si="7"/>
        <v>10</v>
      </c>
      <c r="AA11" s="21">
        <f t="shared" si="8"/>
        <v>0</v>
      </c>
      <c r="AB11" s="21">
        <f t="shared" si="9"/>
        <v>0</v>
      </c>
      <c r="AC11" s="19" t="str">
        <f t="shared" si="10"/>
        <v>Proxy (input)</v>
      </c>
      <c r="AD11" s="21">
        <f t="shared" si="11"/>
        <v>0</v>
      </c>
      <c r="AE11" s="19" t="str">
        <f t="shared" si="12"/>
        <v>Proxy (input)</v>
      </c>
      <c r="AF11" s="16">
        <f t="shared" si="13"/>
        <v>40</v>
      </c>
      <c r="AG11" s="22">
        <f t="shared" si="14"/>
        <v>0.15517465264251395</v>
      </c>
      <c r="AH11" s="14">
        <f>IF($K11="","",$K11*IFERROR(VLOOKUP($B11,'Regional Assumptions'!$A$7:$G$11,2,FALSE),VLOOKUP("Default",'Regional Assumptions'!$A$7:$G$11,2,FALSE)))</f>
        <v>38505000</v>
      </c>
      <c r="AI11" s="14">
        <f>IF($K11="","",$K11*IFERROR(VLOOKUP($B11,'Regional Assumptions'!$A$7:$G$11,3,FALSE),VLOOKUP("Default",'Regional Assumptions'!$A$7:$G$11,3,FALSE)))</f>
        <v>38505000</v>
      </c>
      <c r="AJ11" s="14">
        <f>IF($K11="","",$K11*IFERROR(VLOOKUP($B11,'Regional Assumptions'!$A$7:$G$11,4,FALSE),VLOOKUP("Default",'Regional Assumptions'!$A$7:$G$11,4,FALSE)))</f>
        <v>38505000</v>
      </c>
      <c r="AK11" s="14">
        <f>IF($K11="","",$K11*IFERROR(VLOOKUP($B11,'Regional Assumptions'!$A$7:$G$11,5,FALSE),VLOOKUP("Default",'Regional Assumptions'!$A$7:$G$11,5,FALSE)))</f>
        <v>38505000</v>
      </c>
      <c r="AL11" s="15">
        <f>IF($L11="","",$L11*IFERROR(VLOOKUP($B11,'Regional Assumptions'!$A$7:$G$11,2,FALSE),VLOOKUP("Default",'Regional Assumptions'!$A$7:$G$11,2,FALSE)))</f>
        <v>5737245000</v>
      </c>
      <c r="AM11" s="15">
        <f>IF($L11="","",$L11*IFERROR(VLOOKUP($B11,'Regional Assumptions'!$A$7:$G$11,3,FALSE),VLOOKUP("Default",'Regional Assumptions'!$A$7:$G$11,3,FALSE)))</f>
        <v>5737245000</v>
      </c>
      <c r="AN11" s="15">
        <f>IF($L11="","",$L11*IFERROR(VLOOKUP($B11,'Regional Assumptions'!$A$7:$G$11,4,FALSE),VLOOKUP("Default",'Regional Assumptions'!$A$7:$G$11,4,FALSE)))</f>
        <v>5737245000</v>
      </c>
      <c r="AO11" s="15">
        <f>IF($L11="","",$L11*IFERROR(VLOOKUP($B11,'Regional Assumptions'!$A$7:$G$11,5,FALSE),VLOOKUP("Default",'Regional Assumptions'!$A$7:$G$11,5,FALSE)))</f>
        <v>5737245000</v>
      </c>
      <c r="AP11" s="14">
        <f>IF($F11="","",$F11*IFERROR(VLOOKUP($B11,'Regional Assumptions'!$A$7:$G$11,2,FALSE),VLOOKUP("Default",'Regional Assumptions'!$A$7:$G$11,2,FALSE)))</f>
        <v>5975000</v>
      </c>
      <c r="AQ11" s="14">
        <f>IF($F11="","",$F11*IFERROR(VLOOKUP($B11,'Regional Assumptions'!$A$7:$G$11,3,FALSE),VLOOKUP("Default",'Regional Assumptions'!$A$7:$G$11,3,FALSE)))</f>
        <v>5975000</v>
      </c>
      <c r="AR11" s="14">
        <f>IF($F11="","",$F11*IFERROR(VLOOKUP($B11,'Regional Assumptions'!$A$7:$G$11,4,FALSE),VLOOKUP("Default",'Regional Assumptions'!$A$7:$G$11,4,FALSE)))</f>
        <v>5975000</v>
      </c>
      <c r="AS11" s="14">
        <f>IF($F11="","",$F11*IFERROR(VLOOKUP($B11,'Regional Assumptions'!$A$7:$G$11,5,FALSE),VLOOKUP("Default",'Regional Assumptions'!$A$7:$G$11,5,FALSE)))</f>
        <v>5975000</v>
      </c>
      <c r="AT11" s="15">
        <f>IF($G11="","",$G11*IFERROR(VLOOKUP($B11,'Regional Assumptions'!$A$7:$G$11,2,FALSE),VLOOKUP("Default",'Regional Assumptions'!$A$7:$G$11,2,FALSE)))</f>
        <v>239000000</v>
      </c>
      <c r="AU11" s="15">
        <f>IF($G11="","",$G11*IFERROR(VLOOKUP($B11,'Regional Assumptions'!$A$7:$G$11,3,FALSE),VLOOKUP("Default",'Regional Assumptions'!$A$7:$G$11,3,FALSE)))</f>
        <v>239000000</v>
      </c>
      <c r="AV11" s="15">
        <f>IF($G11="","",$G11*IFERROR(VLOOKUP($B11,'Regional Assumptions'!$A$7:$G$11,4,FALSE),VLOOKUP("Default",'Regional Assumptions'!$A$7:$G$11,4,FALSE)))</f>
        <v>239000000</v>
      </c>
      <c r="AW11" s="15">
        <f>IF($G11="","",$G11*IFERROR(VLOOKUP($B11,'Regional Assumptions'!$A$7:$G$11,5,FALSE),VLOOKUP("Default",'Regional Assumptions'!$A$7:$G$11,5,FALSE)))</f>
        <v>239000000</v>
      </c>
      <c r="AX11" s="10">
        <f t="shared" si="15"/>
        <v>1</v>
      </c>
      <c r="AY11" s="9" t="str">
        <f t="shared" si="16"/>
        <v>Proxy split (assumption shares)</v>
      </c>
      <c r="AZ11" s="9" t="str">
        <f>'Regional Assumptions'!$B$2</f>
        <v>NA=US+Canada; EU=Europe; JP=Japan; ROW=Rest of World</v>
      </c>
    </row>
    <row r="12" spans="1:52" x14ac:dyDescent="0.35">
      <c r="A12" t="s">
        <v>441</v>
      </c>
      <c r="B12" t="s">
        <v>145</v>
      </c>
      <c r="C12" t="s">
        <v>42</v>
      </c>
      <c r="D12" s="8">
        <v>34951</v>
      </c>
      <c r="E12" t="s">
        <v>146</v>
      </c>
      <c r="F12" s="26">
        <v>10850000</v>
      </c>
      <c r="G12" s="7">
        <v>542500000</v>
      </c>
      <c r="H12" t="s">
        <v>77</v>
      </c>
      <c r="I12" t="s">
        <v>39</v>
      </c>
      <c r="J12" t="s">
        <v>442</v>
      </c>
      <c r="K12" s="14">
        <v>102490000</v>
      </c>
      <c r="L12" s="15">
        <v>30644510000</v>
      </c>
      <c r="M12" s="12" t="s">
        <v>423</v>
      </c>
      <c r="N12" s="10">
        <v>1994</v>
      </c>
      <c r="O12" s="10">
        <v>2006</v>
      </c>
      <c r="P12" s="16">
        <v>299</v>
      </c>
      <c r="Q12" s="16"/>
      <c r="R12" s="16">
        <f t="shared" si="0"/>
        <v>299</v>
      </c>
      <c r="S12" t="s">
        <v>443</v>
      </c>
      <c r="T12" s="16">
        <f t="shared" si="1"/>
        <v>299</v>
      </c>
      <c r="U12" s="17">
        <f t="shared" si="2"/>
        <v>1</v>
      </c>
      <c r="V12" s="19" t="str">
        <f t="shared" si="3"/>
        <v>Lifetime</v>
      </c>
      <c r="W12" s="19" t="str">
        <f t="shared" si="4"/>
        <v/>
      </c>
      <c r="X12" s="20" t="str">
        <f t="shared" si="5"/>
        <v/>
      </c>
      <c r="Y12" s="19" t="str">
        <f t="shared" si="6"/>
        <v>Ended</v>
      </c>
      <c r="Z12" s="21">
        <f t="shared" si="7"/>
        <v>12</v>
      </c>
      <c r="AA12" s="21">
        <f t="shared" si="8"/>
        <v>0</v>
      </c>
      <c r="AB12" s="21">
        <f t="shared" si="9"/>
        <v>0</v>
      </c>
      <c r="AC12" s="19" t="str">
        <f t="shared" si="10"/>
        <v>Proxy (input)</v>
      </c>
      <c r="AD12" s="21">
        <f t="shared" si="11"/>
        <v>0</v>
      </c>
      <c r="AE12" s="19" t="str">
        <f t="shared" si="12"/>
        <v>Proxy (input)</v>
      </c>
      <c r="AF12" s="16">
        <f t="shared" si="13"/>
        <v>50</v>
      </c>
      <c r="AG12" s="22">
        <f t="shared" si="14"/>
        <v>0.10586398673041272</v>
      </c>
      <c r="AH12" s="14">
        <f>IF($K12="","",$K12*IFERROR(VLOOKUP($B12,'Regional Assumptions'!$A$7:$G$11,2,FALSE),VLOOKUP("Default",'Regional Assumptions'!$A$7:$G$11,2,FALSE)))</f>
        <v>25622500</v>
      </c>
      <c r="AI12" s="14">
        <f>IF($K12="","",$K12*IFERROR(VLOOKUP($B12,'Regional Assumptions'!$A$7:$G$11,3,FALSE),VLOOKUP("Default",'Regional Assumptions'!$A$7:$G$11,3,FALSE)))</f>
        <v>25622500</v>
      </c>
      <c r="AJ12" s="14">
        <f>IF($K12="","",$K12*IFERROR(VLOOKUP($B12,'Regional Assumptions'!$A$7:$G$11,4,FALSE),VLOOKUP("Default",'Regional Assumptions'!$A$7:$G$11,4,FALSE)))</f>
        <v>25622500</v>
      </c>
      <c r="AK12" s="14">
        <f>IF($K12="","",$K12*IFERROR(VLOOKUP($B12,'Regional Assumptions'!$A$7:$G$11,5,FALSE),VLOOKUP("Default",'Regional Assumptions'!$A$7:$G$11,5,FALSE)))</f>
        <v>25622500</v>
      </c>
      <c r="AL12" s="15">
        <f>IF($L12="","",$L12*IFERROR(VLOOKUP($B12,'Regional Assumptions'!$A$7:$G$11,2,FALSE),VLOOKUP("Default",'Regional Assumptions'!$A$7:$G$11,2,FALSE)))</f>
        <v>7661127500</v>
      </c>
      <c r="AM12" s="15">
        <f>IF($L12="","",$L12*IFERROR(VLOOKUP($B12,'Regional Assumptions'!$A$7:$G$11,3,FALSE),VLOOKUP("Default",'Regional Assumptions'!$A$7:$G$11,3,FALSE)))</f>
        <v>7661127500</v>
      </c>
      <c r="AN12" s="15">
        <f>IF($L12="","",$L12*IFERROR(VLOOKUP($B12,'Regional Assumptions'!$A$7:$G$11,4,FALSE),VLOOKUP("Default",'Regional Assumptions'!$A$7:$G$11,4,FALSE)))</f>
        <v>7661127500</v>
      </c>
      <c r="AO12" s="15">
        <f>IF($L12="","",$L12*IFERROR(VLOOKUP($B12,'Regional Assumptions'!$A$7:$G$11,5,FALSE),VLOOKUP("Default",'Regional Assumptions'!$A$7:$G$11,5,FALSE)))</f>
        <v>7661127500</v>
      </c>
      <c r="AP12" s="14">
        <f>IF($F12="","",$F12*IFERROR(VLOOKUP($B12,'Regional Assumptions'!$A$7:$G$11,2,FALSE),VLOOKUP("Default",'Regional Assumptions'!$A$7:$G$11,2,FALSE)))</f>
        <v>2712500</v>
      </c>
      <c r="AQ12" s="14">
        <f>IF($F12="","",$F12*IFERROR(VLOOKUP($B12,'Regional Assumptions'!$A$7:$G$11,3,FALSE),VLOOKUP("Default",'Regional Assumptions'!$A$7:$G$11,3,FALSE)))</f>
        <v>2712500</v>
      </c>
      <c r="AR12" s="14">
        <f>IF($F12="","",$F12*IFERROR(VLOOKUP($B12,'Regional Assumptions'!$A$7:$G$11,4,FALSE),VLOOKUP("Default",'Regional Assumptions'!$A$7:$G$11,4,FALSE)))</f>
        <v>2712500</v>
      </c>
      <c r="AS12" s="14">
        <f>IF($F12="","",$F12*IFERROR(VLOOKUP($B12,'Regional Assumptions'!$A$7:$G$11,5,FALSE),VLOOKUP("Default",'Regional Assumptions'!$A$7:$G$11,5,FALSE)))</f>
        <v>2712500</v>
      </c>
      <c r="AT12" s="15">
        <f>IF($G12="","",$G12*IFERROR(VLOOKUP($B12,'Regional Assumptions'!$A$7:$G$11,2,FALSE),VLOOKUP("Default",'Regional Assumptions'!$A$7:$G$11,2,FALSE)))</f>
        <v>135625000</v>
      </c>
      <c r="AU12" s="15">
        <f>IF($G12="","",$G12*IFERROR(VLOOKUP($B12,'Regional Assumptions'!$A$7:$G$11,3,FALSE),VLOOKUP("Default",'Regional Assumptions'!$A$7:$G$11,3,FALSE)))</f>
        <v>135625000</v>
      </c>
      <c r="AV12" s="15">
        <f>IF($G12="","",$G12*IFERROR(VLOOKUP($B12,'Regional Assumptions'!$A$7:$G$11,4,FALSE),VLOOKUP("Default",'Regional Assumptions'!$A$7:$G$11,4,FALSE)))</f>
        <v>135625000</v>
      </c>
      <c r="AW12" s="15">
        <f>IF($G12="","",$G12*IFERROR(VLOOKUP($B12,'Regional Assumptions'!$A$7:$G$11,5,FALSE),VLOOKUP("Default",'Regional Assumptions'!$A$7:$G$11,5,FALSE)))</f>
        <v>135625000</v>
      </c>
      <c r="AX12" s="10">
        <f t="shared" si="15"/>
        <v>1</v>
      </c>
      <c r="AY12" s="9" t="str">
        <f t="shared" si="16"/>
        <v>Proxy split (assumption shares)</v>
      </c>
      <c r="AZ12" s="9" t="str">
        <f>'Regional Assumptions'!$B$2</f>
        <v>NA=US+Canada; EU=Europe; JP=Japan; ROW=Rest of World</v>
      </c>
    </row>
    <row r="13" spans="1:52" x14ac:dyDescent="0.35">
      <c r="A13" t="s">
        <v>160</v>
      </c>
      <c r="B13" t="s">
        <v>145</v>
      </c>
      <c r="C13" t="s">
        <v>52</v>
      </c>
      <c r="D13" s="8">
        <v>36825</v>
      </c>
      <c r="E13" t="s">
        <v>161</v>
      </c>
      <c r="F13" s="26">
        <v>17300000</v>
      </c>
      <c r="G13" s="7">
        <v>865000000</v>
      </c>
      <c r="H13" t="s">
        <v>169</v>
      </c>
      <c r="I13" t="s">
        <v>39</v>
      </c>
      <c r="J13" t="s">
        <v>177</v>
      </c>
      <c r="K13" s="14">
        <v>160000000</v>
      </c>
      <c r="L13" s="15">
        <v>47840000000</v>
      </c>
      <c r="M13" s="12" t="s">
        <v>423</v>
      </c>
      <c r="N13" s="10">
        <v>2000</v>
      </c>
      <c r="O13" s="10">
        <v>2013</v>
      </c>
      <c r="P13" s="16">
        <v>299</v>
      </c>
      <c r="Q13" s="16"/>
      <c r="R13" s="16">
        <f t="shared" si="0"/>
        <v>299</v>
      </c>
      <c r="S13" t="s">
        <v>444</v>
      </c>
      <c r="T13" s="16">
        <f t="shared" si="1"/>
        <v>299</v>
      </c>
      <c r="U13" s="17">
        <f t="shared" si="2"/>
        <v>1</v>
      </c>
      <c r="V13" s="19" t="str">
        <f t="shared" si="3"/>
        <v>Lifetime</v>
      </c>
      <c r="W13" s="19" t="str">
        <f t="shared" si="4"/>
        <v/>
      </c>
      <c r="X13" s="20" t="str">
        <f t="shared" si="5"/>
        <v/>
      </c>
      <c r="Y13" s="19" t="str">
        <f t="shared" si="6"/>
        <v>Ended</v>
      </c>
      <c r="Z13" s="21">
        <f t="shared" si="7"/>
        <v>13</v>
      </c>
      <c r="AA13" s="21">
        <f t="shared" si="8"/>
        <v>0</v>
      </c>
      <c r="AB13" s="21">
        <f t="shared" si="9"/>
        <v>0</v>
      </c>
      <c r="AC13" s="19" t="str">
        <f t="shared" si="10"/>
        <v>Proxy (input)</v>
      </c>
      <c r="AD13" s="21">
        <f t="shared" si="11"/>
        <v>0</v>
      </c>
      <c r="AE13" s="19" t="str">
        <f t="shared" si="12"/>
        <v>Proxy (input)</v>
      </c>
      <c r="AF13" s="16">
        <f t="shared" si="13"/>
        <v>50</v>
      </c>
      <c r="AG13" s="22">
        <f t="shared" si="14"/>
        <v>0.108125</v>
      </c>
      <c r="AH13" s="14">
        <f>IF($K13="","",$K13*IFERROR(VLOOKUP($B13,'Regional Assumptions'!$A$7:$G$11,2,FALSE),VLOOKUP("Default",'Regional Assumptions'!$A$7:$G$11,2,FALSE)))</f>
        <v>40000000</v>
      </c>
      <c r="AI13" s="14">
        <f>IF($K13="","",$K13*IFERROR(VLOOKUP($B13,'Regional Assumptions'!$A$7:$G$11,3,FALSE),VLOOKUP("Default",'Regional Assumptions'!$A$7:$G$11,3,FALSE)))</f>
        <v>40000000</v>
      </c>
      <c r="AJ13" s="14">
        <f>IF($K13="","",$K13*IFERROR(VLOOKUP($B13,'Regional Assumptions'!$A$7:$G$11,4,FALSE),VLOOKUP("Default",'Regional Assumptions'!$A$7:$G$11,4,FALSE)))</f>
        <v>40000000</v>
      </c>
      <c r="AK13" s="14">
        <f>IF($K13="","",$K13*IFERROR(VLOOKUP($B13,'Regional Assumptions'!$A$7:$G$11,5,FALSE),VLOOKUP("Default",'Regional Assumptions'!$A$7:$G$11,5,FALSE)))</f>
        <v>40000000</v>
      </c>
      <c r="AL13" s="15">
        <f>IF($L13="","",$L13*IFERROR(VLOOKUP($B13,'Regional Assumptions'!$A$7:$G$11,2,FALSE),VLOOKUP("Default",'Regional Assumptions'!$A$7:$G$11,2,FALSE)))</f>
        <v>11960000000</v>
      </c>
      <c r="AM13" s="15">
        <f>IF($L13="","",$L13*IFERROR(VLOOKUP($B13,'Regional Assumptions'!$A$7:$G$11,3,FALSE),VLOOKUP("Default",'Regional Assumptions'!$A$7:$G$11,3,FALSE)))</f>
        <v>11960000000</v>
      </c>
      <c r="AN13" s="15">
        <f>IF($L13="","",$L13*IFERROR(VLOOKUP($B13,'Regional Assumptions'!$A$7:$G$11,4,FALSE),VLOOKUP("Default",'Regional Assumptions'!$A$7:$G$11,4,FALSE)))</f>
        <v>11960000000</v>
      </c>
      <c r="AO13" s="15">
        <f>IF($L13="","",$L13*IFERROR(VLOOKUP($B13,'Regional Assumptions'!$A$7:$G$11,5,FALSE),VLOOKUP("Default",'Regional Assumptions'!$A$7:$G$11,5,FALSE)))</f>
        <v>11960000000</v>
      </c>
      <c r="AP13" s="14">
        <f>IF($F13="","",$F13*IFERROR(VLOOKUP($B13,'Regional Assumptions'!$A$7:$G$11,2,FALSE),VLOOKUP("Default",'Regional Assumptions'!$A$7:$G$11,2,FALSE)))</f>
        <v>4325000</v>
      </c>
      <c r="AQ13" s="14">
        <f>IF($F13="","",$F13*IFERROR(VLOOKUP($B13,'Regional Assumptions'!$A$7:$G$11,3,FALSE),VLOOKUP("Default",'Regional Assumptions'!$A$7:$G$11,3,FALSE)))</f>
        <v>4325000</v>
      </c>
      <c r="AR13" s="14">
        <f>IF($F13="","",$F13*IFERROR(VLOOKUP($B13,'Regional Assumptions'!$A$7:$G$11,4,FALSE),VLOOKUP("Default",'Regional Assumptions'!$A$7:$G$11,4,FALSE)))</f>
        <v>4325000</v>
      </c>
      <c r="AS13" s="14">
        <f>IF($F13="","",$F13*IFERROR(VLOOKUP($B13,'Regional Assumptions'!$A$7:$G$11,5,FALSE),VLOOKUP("Default",'Regional Assumptions'!$A$7:$G$11,5,FALSE)))</f>
        <v>4325000</v>
      </c>
      <c r="AT13" s="15">
        <f>IF($G13="","",$G13*IFERROR(VLOOKUP($B13,'Regional Assumptions'!$A$7:$G$11,2,FALSE),VLOOKUP("Default",'Regional Assumptions'!$A$7:$G$11,2,FALSE)))</f>
        <v>216250000</v>
      </c>
      <c r="AU13" s="15">
        <f>IF($G13="","",$G13*IFERROR(VLOOKUP($B13,'Regional Assumptions'!$A$7:$G$11,3,FALSE),VLOOKUP("Default",'Regional Assumptions'!$A$7:$G$11,3,FALSE)))</f>
        <v>216250000</v>
      </c>
      <c r="AV13" s="15">
        <f>IF($G13="","",$G13*IFERROR(VLOOKUP($B13,'Regional Assumptions'!$A$7:$G$11,4,FALSE),VLOOKUP("Default",'Regional Assumptions'!$A$7:$G$11,4,FALSE)))</f>
        <v>216250000</v>
      </c>
      <c r="AW13" s="15">
        <f>IF($G13="","",$G13*IFERROR(VLOOKUP($B13,'Regional Assumptions'!$A$7:$G$11,5,FALSE),VLOOKUP("Default",'Regional Assumptions'!$A$7:$G$11,5,FALSE)))</f>
        <v>216250000</v>
      </c>
      <c r="AX13" s="10">
        <f t="shared" si="15"/>
        <v>1</v>
      </c>
      <c r="AY13" s="9" t="str">
        <f t="shared" si="16"/>
        <v>Proxy split (assumption shares)</v>
      </c>
      <c r="AZ13" s="9" t="str">
        <f>'Regional Assumptions'!$B$2</f>
        <v>NA=US+Canada; EU=Europe; JP=Japan; ROW=Rest of World</v>
      </c>
    </row>
    <row r="14" spans="1:52" x14ac:dyDescent="0.35">
      <c r="A14" t="s">
        <v>178</v>
      </c>
      <c r="B14" t="s">
        <v>145</v>
      </c>
      <c r="C14" t="s">
        <v>67</v>
      </c>
      <c r="D14" s="8">
        <v>39038</v>
      </c>
      <c r="E14" t="s">
        <v>179</v>
      </c>
      <c r="F14" s="26">
        <v>20000000</v>
      </c>
      <c r="G14" s="7">
        <v>1200000000</v>
      </c>
      <c r="H14" t="s">
        <v>169</v>
      </c>
      <c r="I14" t="s">
        <v>39</v>
      </c>
      <c r="J14" t="s">
        <v>177</v>
      </c>
      <c r="K14" s="14">
        <v>87400000</v>
      </c>
      <c r="L14" s="15">
        <v>43612600000</v>
      </c>
      <c r="M14" s="12" t="s">
        <v>423</v>
      </c>
      <c r="N14" s="10">
        <v>2006</v>
      </c>
      <c r="O14" s="10">
        <v>2017</v>
      </c>
      <c r="P14" s="16">
        <v>499.99</v>
      </c>
      <c r="Q14" s="16">
        <v>599.99</v>
      </c>
      <c r="R14" s="16">
        <f t="shared" si="0"/>
        <v>549.99</v>
      </c>
      <c r="S14" t="s">
        <v>445</v>
      </c>
      <c r="T14" s="16">
        <f t="shared" si="1"/>
        <v>499</v>
      </c>
      <c r="U14" s="17">
        <f t="shared" si="2"/>
        <v>0.90728922344042617</v>
      </c>
      <c r="V14" s="19" t="str">
        <f t="shared" si="3"/>
        <v>Lifetime</v>
      </c>
      <c r="W14" s="19" t="str">
        <f t="shared" si="4"/>
        <v/>
      </c>
      <c r="X14" s="20" t="str">
        <f t="shared" si="5"/>
        <v/>
      </c>
      <c r="Y14" s="19" t="str">
        <f t="shared" si="6"/>
        <v>Ended</v>
      </c>
      <c r="Z14" s="21">
        <f t="shared" si="7"/>
        <v>11</v>
      </c>
      <c r="AA14" s="21">
        <f t="shared" si="8"/>
        <v>0</v>
      </c>
      <c r="AB14" s="21">
        <f t="shared" si="9"/>
        <v>0</v>
      </c>
      <c r="AC14" s="19" t="str">
        <f t="shared" si="10"/>
        <v>Proxy (input)</v>
      </c>
      <c r="AD14" s="21">
        <f t="shared" si="11"/>
        <v>0</v>
      </c>
      <c r="AE14" s="19" t="str">
        <f t="shared" si="12"/>
        <v>Proxy (input)</v>
      </c>
      <c r="AF14" s="16">
        <f t="shared" si="13"/>
        <v>60</v>
      </c>
      <c r="AG14" s="22">
        <f t="shared" si="14"/>
        <v>0.2288329519450801</v>
      </c>
      <c r="AH14" s="14">
        <f>IF($K14="","",$K14*IFERROR(VLOOKUP($B14,'Regional Assumptions'!$A$7:$G$11,2,FALSE),VLOOKUP("Default",'Regional Assumptions'!$A$7:$G$11,2,FALSE)))</f>
        <v>21850000</v>
      </c>
      <c r="AI14" s="14">
        <f>IF($K14="","",$K14*IFERROR(VLOOKUP($B14,'Regional Assumptions'!$A$7:$G$11,3,FALSE),VLOOKUP("Default",'Regional Assumptions'!$A$7:$G$11,3,FALSE)))</f>
        <v>21850000</v>
      </c>
      <c r="AJ14" s="14">
        <f>IF($K14="","",$K14*IFERROR(VLOOKUP($B14,'Regional Assumptions'!$A$7:$G$11,4,FALSE),VLOOKUP("Default",'Regional Assumptions'!$A$7:$G$11,4,FALSE)))</f>
        <v>21850000</v>
      </c>
      <c r="AK14" s="14">
        <f>IF($K14="","",$K14*IFERROR(VLOOKUP($B14,'Regional Assumptions'!$A$7:$G$11,5,FALSE),VLOOKUP("Default",'Regional Assumptions'!$A$7:$G$11,5,FALSE)))</f>
        <v>21850000</v>
      </c>
      <c r="AL14" s="15">
        <f>IF($L14="","",$L14*IFERROR(VLOOKUP($B14,'Regional Assumptions'!$A$7:$G$11,2,FALSE),VLOOKUP("Default",'Regional Assumptions'!$A$7:$G$11,2,FALSE)))</f>
        <v>10903150000</v>
      </c>
      <c r="AM14" s="15">
        <f>IF($L14="","",$L14*IFERROR(VLOOKUP($B14,'Regional Assumptions'!$A$7:$G$11,3,FALSE),VLOOKUP("Default",'Regional Assumptions'!$A$7:$G$11,3,FALSE)))</f>
        <v>10903150000</v>
      </c>
      <c r="AN14" s="15">
        <f>IF($L14="","",$L14*IFERROR(VLOOKUP($B14,'Regional Assumptions'!$A$7:$G$11,4,FALSE),VLOOKUP("Default",'Regional Assumptions'!$A$7:$G$11,4,FALSE)))</f>
        <v>10903150000</v>
      </c>
      <c r="AO14" s="15">
        <f>IF($L14="","",$L14*IFERROR(VLOOKUP($B14,'Regional Assumptions'!$A$7:$G$11,5,FALSE),VLOOKUP("Default",'Regional Assumptions'!$A$7:$G$11,5,FALSE)))</f>
        <v>10903150000</v>
      </c>
      <c r="AP14" s="14">
        <f>IF($F14="","",$F14*IFERROR(VLOOKUP($B14,'Regional Assumptions'!$A$7:$G$11,2,FALSE),VLOOKUP("Default",'Regional Assumptions'!$A$7:$G$11,2,FALSE)))</f>
        <v>5000000</v>
      </c>
      <c r="AQ14" s="14">
        <f>IF($F14="","",$F14*IFERROR(VLOOKUP($B14,'Regional Assumptions'!$A$7:$G$11,3,FALSE),VLOOKUP("Default",'Regional Assumptions'!$A$7:$G$11,3,FALSE)))</f>
        <v>5000000</v>
      </c>
      <c r="AR14" s="14">
        <f>IF($F14="","",$F14*IFERROR(VLOOKUP($B14,'Regional Assumptions'!$A$7:$G$11,4,FALSE),VLOOKUP("Default",'Regional Assumptions'!$A$7:$G$11,4,FALSE)))</f>
        <v>5000000</v>
      </c>
      <c r="AS14" s="14">
        <f>IF($F14="","",$F14*IFERROR(VLOOKUP($B14,'Regional Assumptions'!$A$7:$G$11,5,FALSE),VLOOKUP("Default",'Regional Assumptions'!$A$7:$G$11,5,FALSE)))</f>
        <v>5000000</v>
      </c>
      <c r="AT14" s="15">
        <f>IF($G14="","",$G14*IFERROR(VLOOKUP($B14,'Regional Assumptions'!$A$7:$G$11,2,FALSE),VLOOKUP("Default",'Regional Assumptions'!$A$7:$G$11,2,FALSE)))</f>
        <v>300000000</v>
      </c>
      <c r="AU14" s="15">
        <f>IF($G14="","",$G14*IFERROR(VLOOKUP($B14,'Regional Assumptions'!$A$7:$G$11,3,FALSE),VLOOKUP("Default",'Regional Assumptions'!$A$7:$G$11,3,FALSE)))</f>
        <v>300000000</v>
      </c>
      <c r="AV14" s="15">
        <f>IF($G14="","",$G14*IFERROR(VLOOKUP($B14,'Regional Assumptions'!$A$7:$G$11,4,FALSE),VLOOKUP("Default",'Regional Assumptions'!$A$7:$G$11,4,FALSE)))</f>
        <v>300000000</v>
      </c>
      <c r="AW14" s="15">
        <f>IF($G14="","",$G14*IFERROR(VLOOKUP($B14,'Regional Assumptions'!$A$7:$G$11,5,FALSE),VLOOKUP("Default",'Regional Assumptions'!$A$7:$G$11,5,FALSE)))</f>
        <v>300000000</v>
      </c>
      <c r="AX14" s="10">
        <f t="shared" si="15"/>
        <v>1</v>
      </c>
      <c r="AY14" s="9" t="str">
        <f t="shared" si="16"/>
        <v>Proxy split (assumption shares)</v>
      </c>
      <c r="AZ14" s="9" t="str">
        <f>'Regional Assumptions'!$B$2</f>
        <v>NA=US+Canada; EU=Europe; JP=Japan; ROW=Rest of World</v>
      </c>
    </row>
    <row r="15" spans="1:52" x14ac:dyDescent="0.35">
      <c r="A15" t="s">
        <v>188</v>
      </c>
      <c r="B15" t="s">
        <v>145</v>
      </c>
      <c r="C15" t="s">
        <v>74</v>
      </c>
      <c r="D15" s="8">
        <v>41593</v>
      </c>
      <c r="E15" t="s">
        <v>189</v>
      </c>
      <c r="F15" s="26">
        <v>20000000</v>
      </c>
      <c r="G15" s="7">
        <v>1000000000</v>
      </c>
      <c r="H15" t="s">
        <v>268</v>
      </c>
      <c r="I15" t="s">
        <v>39</v>
      </c>
      <c r="J15" t="s">
        <v>335</v>
      </c>
      <c r="K15" s="14">
        <v>117200000</v>
      </c>
      <c r="L15" s="15">
        <v>46762800000</v>
      </c>
      <c r="M15" s="12" t="s">
        <v>446</v>
      </c>
      <c r="N15" s="10">
        <v>2013</v>
      </c>
      <c r="O15" s="10">
        <v>2024</v>
      </c>
      <c r="P15" s="16">
        <v>399.99</v>
      </c>
      <c r="Q15" s="16"/>
      <c r="R15" s="16">
        <f t="shared" si="0"/>
        <v>399.99</v>
      </c>
      <c r="S15" t="s">
        <v>447</v>
      </c>
      <c r="T15" s="16">
        <f t="shared" si="1"/>
        <v>399</v>
      </c>
      <c r="U15" s="17">
        <f t="shared" si="2"/>
        <v>0.99752493812345311</v>
      </c>
      <c r="V15" s="19" t="str">
        <f t="shared" si="3"/>
        <v>AsOf</v>
      </c>
      <c r="W15" s="19" t="str">
        <f t="shared" si="4"/>
        <v>Day</v>
      </c>
      <c r="X15" s="20">
        <f t="shared" si="5"/>
        <v>44651</v>
      </c>
      <c r="Y15" s="19" t="str">
        <f t="shared" si="6"/>
        <v>Ended</v>
      </c>
      <c r="Z15" s="21">
        <f t="shared" si="7"/>
        <v>11</v>
      </c>
      <c r="AA15" s="21">
        <f t="shared" si="8"/>
        <v>0</v>
      </c>
      <c r="AB15" s="21">
        <f t="shared" si="9"/>
        <v>0</v>
      </c>
      <c r="AC15" s="19" t="str">
        <f t="shared" si="10"/>
        <v>Proxy (input)</v>
      </c>
      <c r="AD15" s="21">
        <f t="shared" si="11"/>
        <v>0</v>
      </c>
      <c r="AE15" s="19" t="str">
        <f t="shared" si="12"/>
        <v>Proxy (input)</v>
      </c>
      <c r="AF15" s="16">
        <f t="shared" si="13"/>
        <v>50</v>
      </c>
      <c r="AG15" s="22">
        <f t="shared" si="14"/>
        <v>0.17064846416382254</v>
      </c>
      <c r="AH15" s="14">
        <f>IF($K15="","",$K15*IFERROR(VLOOKUP($B15,'Regional Assumptions'!$A$7:$G$11,2,FALSE),VLOOKUP("Default",'Regional Assumptions'!$A$7:$G$11,2,FALSE)))</f>
        <v>29300000</v>
      </c>
      <c r="AI15" s="14">
        <f>IF($K15="","",$K15*IFERROR(VLOOKUP($B15,'Regional Assumptions'!$A$7:$G$11,3,FALSE),VLOOKUP("Default",'Regional Assumptions'!$A$7:$G$11,3,FALSE)))</f>
        <v>29300000</v>
      </c>
      <c r="AJ15" s="14">
        <f>IF($K15="","",$K15*IFERROR(VLOOKUP($B15,'Regional Assumptions'!$A$7:$G$11,4,FALSE),VLOOKUP("Default",'Regional Assumptions'!$A$7:$G$11,4,FALSE)))</f>
        <v>29300000</v>
      </c>
      <c r="AK15" s="14">
        <f>IF($K15="","",$K15*IFERROR(VLOOKUP($B15,'Regional Assumptions'!$A$7:$G$11,5,FALSE),VLOOKUP("Default",'Regional Assumptions'!$A$7:$G$11,5,FALSE)))</f>
        <v>29300000</v>
      </c>
      <c r="AL15" s="15">
        <f>IF($L15="","",$L15*IFERROR(VLOOKUP($B15,'Regional Assumptions'!$A$7:$G$11,2,FALSE),VLOOKUP("Default",'Regional Assumptions'!$A$7:$G$11,2,FALSE)))</f>
        <v>11690700000</v>
      </c>
      <c r="AM15" s="15">
        <f>IF($L15="","",$L15*IFERROR(VLOOKUP($B15,'Regional Assumptions'!$A$7:$G$11,3,FALSE),VLOOKUP("Default",'Regional Assumptions'!$A$7:$G$11,3,FALSE)))</f>
        <v>11690700000</v>
      </c>
      <c r="AN15" s="15">
        <f>IF($L15="","",$L15*IFERROR(VLOOKUP($B15,'Regional Assumptions'!$A$7:$G$11,4,FALSE),VLOOKUP("Default",'Regional Assumptions'!$A$7:$G$11,4,FALSE)))</f>
        <v>11690700000</v>
      </c>
      <c r="AO15" s="15">
        <f>IF($L15="","",$L15*IFERROR(VLOOKUP($B15,'Regional Assumptions'!$A$7:$G$11,5,FALSE),VLOOKUP("Default",'Regional Assumptions'!$A$7:$G$11,5,FALSE)))</f>
        <v>11690700000</v>
      </c>
      <c r="AP15" s="14">
        <f>IF($F15="","",$F15*IFERROR(VLOOKUP($B15,'Regional Assumptions'!$A$7:$G$11,2,FALSE),VLOOKUP("Default",'Regional Assumptions'!$A$7:$G$11,2,FALSE)))</f>
        <v>5000000</v>
      </c>
      <c r="AQ15" s="14">
        <f>IF($F15="","",$F15*IFERROR(VLOOKUP($B15,'Regional Assumptions'!$A$7:$G$11,3,FALSE),VLOOKUP("Default",'Regional Assumptions'!$A$7:$G$11,3,FALSE)))</f>
        <v>5000000</v>
      </c>
      <c r="AR15" s="14">
        <f>IF($F15="","",$F15*IFERROR(VLOOKUP($B15,'Regional Assumptions'!$A$7:$G$11,4,FALSE),VLOOKUP("Default",'Regional Assumptions'!$A$7:$G$11,4,FALSE)))</f>
        <v>5000000</v>
      </c>
      <c r="AS15" s="14">
        <f>IF($F15="","",$F15*IFERROR(VLOOKUP($B15,'Regional Assumptions'!$A$7:$G$11,5,FALSE),VLOOKUP("Default",'Regional Assumptions'!$A$7:$G$11,5,FALSE)))</f>
        <v>5000000</v>
      </c>
      <c r="AT15" s="15">
        <f>IF($G15="","",$G15*IFERROR(VLOOKUP($B15,'Regional Assumptions'!$A$7:$G$11,2,FALSE),VLOOKUP("Default",'Regional Assumptions'!$A$7:$G$11,2,FALSE)))</f>
        <v>250000000</v>
      </c>
      <c r="AU15" s="15">
        <f>IF($G15="","",$G15*IFERROR(VLOOKUP($B15,'Regional Assumptions'!$A$7:$G$11,3,FALSE),VLOOKUP("Default",'Regional Assumptions'!$A$7:$G$11,3,FALSE)))</f>
        <v>250000000</v>
      </c>
      <c r="AV15" s="15">
        <f>IF($G15="","",$G15*IFERROR(VLOOKUP($B15,'Regional Assumptions'!$A$7:$G$11,4,FALSE),VLOOKUP("Default",'Regional Assumptions'!$A$7:$G$11,4,FALSE)))</f>
        <v>250000000</v>
      </c>
      <c r="AW15" s="15">
        <f>IF($G15="","",$G15*IFERROR(VLOOKUP($B15,'Regional Assumptions'!$A$7:$G$11,5,FALSE),VLOOKUP("Default",'Regional Assumptions'!$A$7:$G$11,5,FALSE)))</f>
        <v>250000000</v>
      </c>
      <c r="AX15" s="10">
        <f t="shared" si="15"/>
        <v>1</v>
      </c>
      <c r="AY15" s="9" t="str">
        <f t="shared" si="16"/>
        <v>Proxy split (assumption shares)</v>
      </c>
      <c r="AZ15" s="9" t="str">
        <f>'Regional Assumptions'!$B$2</f>
        <v>NA=US+Canada; EU=Europe; JP=Japan; ROW=Rest of World</v>
      </c>
    </row>
    <row r="16" spans="1:52" x14ac:dyDescent="0.35">
      <c r="A16" t="s">
        <v>201</v>
      </c>
      <c r="B16" t="s">
        <v>145</v>
      </c>
      <c r="C16" t="s">
        <v>202</v>
      </c>
      <c r="D16" s="8">
        <v>44147</v>
      </c>
      <c r="E16" t="s">
        <v>203</v>
      </c>
      <c r="F16" s="26">
        <v>11000000</v>
      </c>
      <c r="G16" s="7">
        <v>770000000</v>
      </c>
      <c r="H16" t="s">
        <v>268</v>
      </c>
      <c r="I16" t="s">
        <v>39</v>
      </c>
      <c r="J16" t="s">
        <v>335</v>
      </c>
      <c r="K16" s="14">
        <v>84200000</v>
      </c>
      <c r="L16" s="15">
        <v>42015800000</v>
      </c>
      <c r="M16" s="12" t="s">
        <v>448</v>
      </c>
      <c r="N16" s="10">
        <v>2020</v>
      </c>
      <c r="O16" s="10"/>
      <c r="P16" s="16">
        <v>399</v>
      </c>
      <c r="Q16" s="16">
        <v>499</v>
      </c>
      <c r="R16" s="16">
        <f t="shared" si="0"/>
        <v>449</v>
      </c>
      <c r="S16" t="s">
        <v>449</v>
      </c>
      <c r="T16" s="16">
        <f t="shared" si="1"/>
        <v>499</v>
      </c>
      <c r="U16" s="17">
        <f t="shared" si="2"/>
        <v>1.111358574610245</v>
      </c>
      <c r="V16" s="19" t="str">
        <f t="shared" si="3"/>
        <v>AsOf</v>
      </c>
      <c r="W16" s="19" t="str">
        <f t="shared" si="4"/>
        <v>Day</v>
      </c>
      <c r="X16" s="20">
        <f t="shared" si="5"/>
        <v>45973</v>
      </c>
      <c r="Y16" s="19" t="str">
        <f t="shared" si="6"/>
        <v>Active</v>
      </c>
      <c r="Z16" s="21" t="str">
        <f t="shared" si="7"/>
        <v/>
      </c>
      <c r="AA16" s="21">
        <f t="shared" si="8"/>
        <v>0</v>
      </c>
      <c r="AB16" s="21">
        <f t="shared" si="9"/>
        <v>0</v>
      </c>
      <c r="AC16" s="19" t="str">
        <f t="shared" si="10"/>
        <v>Proxy (input)</v>
      </c>
      <c r="AD16" s="21">
        <f t="shared" si="11"/>
        <v>0</v>
      </c>
      <c r="AE16" s="19" t="str">
        <f t="shared" si="12"/>
        <v>Proxy (input)</v>
      </c>
      <c r="AF16" s="16">
        <f t="shared" si="13"/>
        <v>70</v>
      </c>
      <c r="AG16" s="22">
        <f t="shared" si="14"/>
        <v>0.13064133016627077</v>
      </c>
      <c r="AH16" s="14">
        <f>IF($K16="","",$K16*IFERROR(VLOOKUP($B16,'Regional Assumptions'!$A$7:$G$11,2,FALSE),VLOOKUP("Default",'Regional Assumptions'!$A$7:$G$11,2,FALSE)))</f>
        <v>21050000</v>
      </c>
      <c r="AI16" s="14">
        <f>IF($K16="","",$K16*IFERROR(VLOOKUP($B16,'Regional Assumptions'!$A$7:$G$11,3,FALSE),VLOOKUP("Default",'Regional Assumptions'!$A$7:$G$11,3,FALSE)))</f>
        <v>21050000</v>
      </c>
      <c r="AJ16" s="14">
        <f>IF($K16="","",$K16*IFERROR(VLOOKUP($B16,'Regional Assumptions'!$A$7:$G$11,4,FALSE),VLOOKUP("Default",'Regional Assumptions'!$A$7:$G$11,4,FALSE)))</f>
        <v>21050000</v>
      </c>
      <c r="AK16" s="14">
        <f>IF($K16="","",$K16*IFERROR(VLOOKUP($B16,'Regional Assumptions'!$A$7:$G$11,5,FALSE),VLOOKUP("Default",'Regional Assumptions'!$A$7:$G$11,5,FALSE)))</f>
        <v>21050000</v>
      </c>
      <c r="AL16" s="15">
        <f>IF($L16="","",$L16*IFERROR(VLOOKUP($B16,'Regional Assumptions'!$A$7:$G$11,2,FALSE),VLOOKUP("Default",'Regional Assumptions'!$A$7:$G$11,2,FALSE)))</f>
        <v>10503950000</v>
      </c>
      <c r="AM16" s="15">
        <f>IF($L16="","",$L16*IFERROR(VLOOKUP($B16,'Regional Assumptions'!$A$7:$G$11,3,FALSE),VLOOKUP("Default",'Regional Assumptions'!$A$7:$G$11,3,FALSE)))</f>
        <v>10503950000</v>
      </c>
      <c r="AN16" s="15">
        <f>IF($L16="","",$L16*IFERROR(VLOOKUP($B16,'Regional Assumptions'!$A$7:$G$11,4,FALSE),VLOOKUP("Default",'Regional Assumptions'!$A$7:$G$11,4,FALSE)))</f>
        <v>10503950000</v>
      </c>
      <c r="AO16" s="15">
        <f>IF($L16="","",$L16*IFERROR(VLOOKUP($B16,'Regional Assumptions'!$A$7:$G$11,5,FALSE),VLOOKUP("Default",'Regional Assumptions'!$A$7:$G$11,5,FALSE)))</f>
        <v>10503950000</v>
      </c>
      <c r="AP16" s="14">
        <f>IF($F16="","",$F16*IFERROR(VLOOKUP($B16,'Regional Assumptions'!$A$7:$G$11,2,FALSE),VLOOKUP("Default",'Regional Assumptions'!$A$7:$G$11,2,FALSE)))</f>
        <v>2750000</v>
      </c>
      <c r="AQ16" s="14">
        <f>IF($F16="","",$F16*IFERROR(VLOOKUP($B16,'Regional Assumptions'!$A$7:$G$11,3,FALSE),VLOOKUP("Default",'Regional Assumptions'!$A$7:$G$11,3,FALSE)))</f>
        <v>2750000</v>
      </c>
      <c r="AR16" s="14">
        <f>IF($F16="","",$F16*IFERROR(VLOOKUP($B16,'Regional Assumptions'!$A$7:$G$11,4,FALSE),VLOOKUP("Default",'Regional Assumptions'!$A$7:$G$11,4,FALSE)))</f>
        <v>2750000</v>
      </c>
      <c r="AS16" s="14">
        <f>IF($F16="","",$F16*IFERROR(VLOOKUP($B16,'Regional Assumptions'!$A$7:$G$11,5,FALSE),VLOOKUP("Default",'Regional Assumptions'!$A$7:$G$11,5,FALSE)))</f>
        <v>2750000</v>
      </c>
      <c r="AT16" s="15">
        <f>IF($G16="","",$G16*IFERROR(VLOOKUP($B16,'Regional Assumptions'!$A$7:$G$11,2,FALSE),VLOOKUP("Default",'Regional Assumptions'!$A$7:$G$11,2,FALSE)))</f>
        <v>192500000</v>
      </c>
      <c r="AU16" s="15">
        <f>IF($G16="","",$G16*IFERROR(VLOOKUP($B16,'Regional Assumptions'!$A$7:$G$11,3,FALSE),VLOOKUP("Default",'Regional Assumptions'!$A$7:$G$11,3,FALSE)))</f>
        <v>192500000</v>
      </c>
      <c r="AV16" s="15">
        <f>IF($G16="","",$G16*IFERROR(VLOOKUP($B16,'Regional Assumptions'!$A$7:$G$11,4,FALSE),VLOOKUP("Default",'Regional Assumptions'!$A$7:$G$11,4,FALSE)))</f>
        <v>192500000</v>
      </c>
      <c r="AW16" s="15">
        <f>IF($G16="","",$G16*IFERROR(VLOOKUP($B16,'Regional Assumptions'!$A$7:$G$11,5,FALSE),VLOOKUP("Default",'Regional Assumptions'!$A$7:$G$11,5,FALSE)))</f>
        <v>192500000</v>
      </c>
      <c r="AX16" s="10">
        <f t="shared" si="15"/>
        <v>1</v>
      </c>
      <c r="AY16" s="9" t="str">
        <f t="shared" si="16"/>
        <v>Proxy split (assumption shares)</v>
      </c>
      <c r="AZ16" s="9" t="str">
        <f>'Regional Assumptions'!$B$2</f>
        <v>NA=US+Canada; EU=Europe; JP=Japan; ROW=Rest of World</v>
      </c>
    </row>
    <row r="17" spans="1:52" x14ac:dyDescent="0.35">
      <c r="A17" t="s">
        <v>214</v>
      </c>
      <c r="B17" t="s">
        <v>145</v>
      </c>
      <c r="C17" t="s">
        <v>67</v>
      </c>
      <c r="D17" s="8">
        <v>38435</v>
      </c>
      <c r="E17" t="s">
        <v>211</v>
      </c>
      <c r="F17" s="26">
        <v>8000000</v>
      </c>
      <c r="G17" s="7">
        <v>320000000</v>
      </c>
      <c r="H17" t="s">
        <v>169</v>
      </c>
      <c r="I17" t="s">
        <v>39</v>
      </c>
      <c r="J17" t="s">
        <v>177</v>
      </c>
      <c r="K17" s="14">
        <v>82520000</v>
      </c>
      <c r="L17" s="15">
        <v>20547480000</v>
      </c>
      <c r="M17" s="12" t="s">
        <v>423</v>
      </c>
      <c r="N17" s="10">
        <v>2004</v>
      </c>
      <c r="O17" s="10">
        <v>2014</v>
      </c>
      <c r="P17" s="16">
        <v>249.99</v>
      </c>
      <c r="Q17" s="16"/>
      <c r="R17" s="16">
        <f t="shared" si="0"/>
        <v>249.99</v>
      </c>
      <c r="S17" t="s">
        <v>450</v>
      </c>
      <c r="T17" s="16">
        <f t="shared" si="1"/>
        <v>249</v>
      </c>
      <c r="U17" s="17">
        <f t="shared" si="2"/>
        <v>0.99603984159366366</v>
      </c>
      <c r="V17" s="19" t="str">
        <f t="shared" si="3"/>
        <v>Lifetime</v>
      </c>
      <c r="W17" s="19" t="str">
        <f t="shared" si="4"/>
        <v/>
      </c>
      <c r="X17" s="20" t="str">
        <f t="shared" si="5"/>
        <v/>
      </c>
      <c r="Y17" s="19" t="str">
        <f t="shared" si="6"/>
        <v>Ended</v>
      </c>
      <c r="Z17" s="21">
        <f t="shared" si="7"/>
        <v>10</v>
      </c>
      <c r="AA17" s="21">
        <f t="shared" si="8"/>
        <v>0</v>
      </c>
      <c r="AB17" s="21">
        <f t="shared" si="9"/>
        <v>0</v>
      </c>
      <c r="AC17" s="19" t="str">
        <f t="shared" si="10"/>
        <v>Proxy (input)</v>
      </c>
      <c r="AD17" s="21">
        <f t="shared" si="11"/>
        <v>0</v>
      </c>
      <c r="AE17" s="19" t="str">
        <f t="shared" si="12"/>
        <v>Proxy (input)</v>
      </c>
      <c r="AF17" s="16">
        <f t="shared" si="13"/>
        <v>40</v>
      </c>
      <c r="AG17" s="22">
        <f t="shared" si="14"/>
        <v>9.6946194861851673E-2</v>
      </c>
      <c r="AH17" s="14">
        <f>IF($K17="","",$K17*IFERROR(VLOOKUP($B17,'Regional Assumptions'!$A$7:$G$11,2,FALSE),VLOOKUP("Default",'Regional Assumptions'!$A$7:$G$11,2,FALSE)))</f>
        <v>20630000</v>
      </c>
      <c r="AI17" s="14">
        <f>IF($K17="","",$K17*IFERROR(VLOOKUP($B17,'Regional Assumptions'!$A$7:$G$11,3,FALSE),VLOOKUP("Default",'Regional Assumptions'!$A$7:$G$11,3,FALSE)))</f>
        <v>20630000</v>
      </c>
      <c r="AJ17" s="14">
        <f>IF($K17="","",$K17*IFERROR(VLOOKUP($B17,'Regional Assumptions'!$A$7:$G$11,4,FALSE),VLOOKUP("Default",'Regional Assumptions'!$A$7:$G$11,4,FALSE)))</f>
        <v>20630000</v>
      </c>
      <c r="AK17" s="14">
        <f>IF($K17="","",$K17*IFERROR(VLOOKUP($B17,'Regional Assumptions'!$A$7:$G$11,5,FALSE),VLOOKUP("Default",'Regional Assumptions'!$A$7:$G$11,5,FALSE)))</f>
        <v>20630000</v>
      </c>
      <c r="AL17" s="15">
        <f>IF($L17="","",$L17*IFERROR(VLOOKUP($B17,'Regional Assumptions'!$A$7:$G$11,2,FALSE),VLOOKUP("Default",'Regional Assumptions'!$A$7:$G$11,2,FALSE)))</f>
        <v>5136870000</v>
      </c>
      <c r="AM17" s="15">
        <f>IF($L17="","",$L17*IFERROR(VLOOKUP($B17,'Regional Assumptions'!$A$7:$G$11,3,FALSE),VLOOKUP("Default",'Regional Assumptions'!$A$7:$G$11,3,FALSE)))</f>
        <v>5136870000</v>
      </c>
      <c r="AN17" s="15">
        <f>IF($L17="","",$L17*IFERROR(VLOOKUP($B17,'Regional Assumptions'!$A$7:$G$11,4,FALSE),VLOOKUP("Default",'Regional Assumptions'!$A$7:$G$11,4,FALSE)))</f>
        <v>5136870000</v>
      </c>
      <c r="AO17" s="15">
        <f>IF($L17="","",$L17*IFERROR(VLOOKUP($B17,'Regional Assumptions'!$A$7:$G$11,5,FALSE),VLOOKUP("Default",'Regional Assumptions'!$A$7:$G$11,5,FALSE)))</f>
        <v>5136870000</v>
      </c>
      <c r="AP17" s="14">
        <f>IF($F17="","",$F17*IFERROR(VLOOKUP($B17,'Regional Assumptions'!$A$7:$G$11,2,FALSE),VLOOKUP("Default",'Regional Assumptions'!$A$7:$G$11,2,FALSE)))</f>
        <v>2000000</v>
      </c>
      <c r="AQ17" s="14">
        <f>IF($F17="","",$F17*IFERROR(VLOOKUP($B17,'Regional Assumptions'!$A$7:$G$11,3,FALSE),VLOOKUP("Default",'Regional Assumptions'!$A$7:$G$11,3,FALSE)))</f>
        <v>2000000</v>
      </c>
      <c r="AR17" s="14">
        <f>IF($F17="","",$F17*IFERROR(VLOOKUP($B17,'Regional Assumptions'!$A$7:$G$11,4,FALSE),VLOOKUP("Default",'Regional Assumptions'!$A$7:$G$11,4,FALSE)))</f>
        <v>2000000</v>
      </c>
      <c r="AS17" s="14">
        <f>IF($F17="","",$F17*IFERROR(VLOOKUP($B17,'Regional Assumptions'!$A$7:$G$11,5,FALSE),VLOOKUP("Default",'Regional Assumptions'!$A$7:$G$11,5,FALSE)))</f>
        <v>2000000</v>
      </c>
      <c r="AT17" s="15">
        <f>IF($G17="","",$G17*IFERROR(VLOOKUP($B17,'Regional Assumptions'!$A$7:$G$11,2,FALSE),VLOOKUP("Default",'Regional Assumptions'!$A$7:$G$11,2,FALSE)))</f>
        <v>80000000</v>
      </c>
      <c r="AU17" s="15">
        <f>IF($G17="","",$G17*IFERROR(VLOOKUP($B17,'Regional Assumptions'!$A$7:$G$11,3,FALSE),VLOOKUP("Default",'Regional Assumptions'!$A$7:$G$11,3,FALSE)))</f>
        <v>80000000</v>
      </c>
      <c r="AV17" s="15">
        <f>IF($G17="","",$G17*IFERROR(VLOOKUP($B17,'Regional Assumptions'!$A$7:$G$11,4,FALSE),VLOOKUP("Default",'Regional Assumptions'!$A$7:$G$11,4,FALSE)))</f>
        <v>80000000</v>
      </c>
      <c r="AW17" s="15">
        <f>IF($G17="","",$G17*IFERROR(VLOOKUP($B17,'Regional Assumptions'!$A$7:$G$11,5,FALSE),VLOOKUP("Default",'Regional Assumptions'!$A$7:$G$11,5,FALSE)))</f>
        <v>80000000</v>
      </c>
      <c r="AX17" s="10">
        <f t="shared" si="15"/>
        <v>1</v>
      </c>
      <c r="AY17" s="9" t="str">
        <f t="shared" si="16"/>
        <v>Proxy split (assumption shares)</v>
      </c>
      <c r="AZ17" s="9" t="str">
        <f>'Regional Assumptions'!$B$2</f>
        <v>NA=US+Canada; EU=Europe; JP=Japan; ROW=Rest of World</v>
      </c>
    </row>
    <row r="18" spans="1:52" x14ac:dyDescent="0.35">
      <c r="A18" t="s">
        <v>451</v>
      </c>
      <c r="B18" t="s">
        <v>145</v>
      </c>
      <c r="C18" t="s">
        <v>74</v>
      </c>
      <c r="D18" s="8">
        <v>40961</v>
      </c>
      <c r="E18" t="s">
        <v>221</v>
      </c>
      <c r="F18" s="26">
        <v>1300000</v>
      </c>
      <c r="G18" s="7">
        <v>65000000</v>
      </c>
      <c r="H18" t="s">
        <v>452</v>
      </c>
      <c r="I18" t="s">
        <v>39</v>
      </c>
      <c r="J18" t="s">
        <v>453</v>
      </c>
      <c r="K18" s="14">
        <v>16000000</v>
      </c>
      <c r="L18" s="15">
        <v>3984000000</v>
      </c>
      <c r="M18" s="12" t="s">
        <v>454</v>
      </c>
      <c r="N18" s="10">
        <v>2011</v>
      </c>
      <c r="O18" s="10">
        <v>2019</v>
      </c>
      <c r="P18" s="16">
        <v>249.99</v>
      </c>
      <c r="Q18" s="16"/>
      <c r="R18" s="16">
        <f t="shared" si="0"/>
        <v>249.99</v>
      </c>
      <c r="S18" t="s">
        <v>455</v>
      </c>
      <c r="T18" s="16">
        <f t="shared" si="1"/>
        <v>249</v>
      </c>
      <c r="U18" s="17">
        <f t="shared" si="2"/>
        <v>0.99603984159366366</v>
      </c>
      <c r="V18" s="19" t="str">
        <f t="shared" si="3"/>
        <v>Estimate</v>
      </c>
      <c r="W18" s="19" t="str">
        <f t="shared" si="4"/>
        <v/>
      </c>
      <c r="X18" s="20" t="str">
        <f t="shared" si="5"/>
        <v/>
      </c>
      <c r="Y18" s="19" t="str">
        <f t="shared" si="6"/>
        <v>Ended</v>
      </c>
      <c r="Z18" s="21">
        <f t="shared" si="7"/>
        <v>8</v>
      </c>
      <c r="AA18" s="21">
        <f t="shared" si="8"/>
        <v>0</v>
      </c>
      <c r="AB18" s="21">
        <f t="shared" si="9"/>
        <v>1</v>
      </c>
      <c r="AC18" s="19" t="str">
        <f t="shared" si="10"/>
        <v>Proxy (estimated)</v>
      </c>
      <c r="AD18" s="21">
        <f t="shared" si="11"/>
        <v>0</v>
      </c>
      <c r="AE18" s="19" t="str">
        <f t="shared" si="12"/>
        <v>Proxy (input)</v>
      </c>
      <c r="AF18" s="16">
        <f t="shared" si="13"/>
        <v>50</v>
      </c>
      <c r="AG18" s="22">
        <f t="shared" si="14"/>
        <v>8.1250000000000003E-2</v>
      </c>
      <c r="AH18" s="14">
        <f>IF($K18="","",$K18*IFERROR(VLOOKUP($B18,'Regional Assumptions'!$A$7:$G$11,2,FALSE),VLOOKUP("Default",'Regional Assumptions'!$A$7:$G$11,2,FALSE)))</f>
        <v>4000000</v>
      </c>
      <c r="AI18" s="14">
        <f>IF($K18="","",$K18*IFERROR(VLOOKUP($B18,'Regional Assumptions'!$A$7:$G$11,3,FALSE),VLOOKUP("Default",'Regional Assumptions'!$A$7:$G$11,3,FALSE)))</f>
        <v>4000000</v>
      </c>
      <c r="AJ18" s="14">
        <f>IF($K18="","",$K18*IFERROR(VLOOKUP($B18,'Regional Assumptions'!$A$7:$G$11,4,FALSE),VLOOKUP("Default",'Regional Assumptions'!$A$7:$G$11,4,FALSE)))</f>
        <v>4000000</v>
      </c>
      <c r="AK18" s="14">
        <f>IF($K18="","",$K18*IFERROR(VLOOKUP($B18,'Regional Assumptions'!$A$7:$G$11,5,FALSE),VLOOKUP("Default",'Regional Assumptions'!$A$7:$G$11,5,FALSE)))</f>
        <v>4000000</v>
      </c>
      <c r="AL18" s="15">
        <f>IF($L18="","",$L18*IFERROR(VLOOKUP($B18,'Regional Assumptions'!$A$7:$G$11,2,FALSE),VLOOKUP("Default",'Regional Assumptions'!$A$7:$G$11,2,FALSE)))</f>
        <v>996000000</v>
      </c>
      <c r="AM18" s="15">
        <f>IF($L18="","",$L18*IFERROR(VLOOKUP($B18,'Regional Assumptions'!$A$7:$G$11,3,FALSE),VLOOKUP("Default",'Regional Assumptions'!$A$7:$G$11,3,FALSE)))</f>
        <v>996000000</v>
      </c>
      <c r="AN18" s="15">
        <f>IF($L18="","",$L18*IFERROR(VLOOKUP($B18,'Regional Assumptions'!$A$7:$G$11,4,FALSE),VLOOKUP("Default",'Regional Assumptions'!$A$7:$G$11,4,FALSE)))</f>
        <v>996000000</v>
      </c>
      <c r="AO18" s="15">
        <f>IF($L18="","",$L18*IFERROR(VLOOKUP($B18,'Regional Assumptions'!$A$7:$G$11,5,FALSE),VLOOKUP("Default",'Regional Assumptions'!$A$7:$G$11,5,FALSE)))</f>
        <v>996000000</v>
      </c>
      <c r="AP18" s="14">
        <f>IF($F18="","",$F18*IFERROR(VLOOKUP($B18,'Regional Assumptions'!$A$7:$G$11,2,FALSE),VLOOKUP("Default",'Regional Assumptions'!$A$7:$G$11,2,FALSE)))</f>
        <v>325000</v>
      </c>
      <c r="AQ18" s="14">
        <f>IF($F18="","",$F18*IFERROR(VLOOKUP($B18,'Regional Assumptions'!$A$7:$G$11,3,FALSE),VLOOKUP("Default",'Regional Assumptions'!$A$7:$G$11,3,FALSE)))</f>
        <v>325000</v>
      </c>
      <c r="AR18" s="14">
        <f>IF($F18="","",$F18*IFERROR(VLOOKUP($B18,'Regional Assumptions'!$A$7:$G$11,4,FALSE),VLOOKUP("Default",'Regional Assumptions'!$A$7:$G$11,4,FALSE)))</f>
        <v>325000</v>
      </c>
      <c r="AS18" s="14">
        <f>IF($F18="","",$F18*IFERROR(VLOOKUP($B18,'Regional Assumptions'!$A$7:$G$11,5,FALSE),VLOOKUP("Default",'Regional Assumptions'!$A$7:$G$11,5,FALSE)))</f>
        <v>325000</v>
      </c>
      <c r="AT18" s="15">
        <f>IF($G18="","",$G18*IFERROR(VLOOKUP($B18,'Regional Assumptions'!$A$7:$G$11,2,FALSE),VLOOKUP("Default",'Regional Assumptions'!$A$7:$G$11,2,FALSE)))</f>
        <v>16250000</v>
      </c>
      <c r="AU18" s="15">
        <f>IF($G18="","",$G18*IFERROR(VLOOKUP($B18,'Regional Assumptions'!$A$7:$G$11,3,FALSE),VLOOKUP("Default",'Regional Assumptions'!$A$7:$G$11,3,FALSE)))</f>
        <v>16250000</v>
      </c>
      <c r="AV18" s="15">
        <f>IF($G18="","",$G18*IFERROR(VLOOKUP($B18,'Regional Assumptions'!$A$7:$G$11,4,FALSE),VLOOKUP("Default",'Regional Assumptions'!$A$7:$G$11,4,FALSE)))</f>
        <v>16250000</v>
      </c>
      <c r="AW18" s="15">
        <f>IF($G18="","",$G18*IFERROR(VLOOKUP($B18,'Regional Assumptions'!$A$7:$G$11,5,FALSE),VLOOKUP("Default",'Regional Assumptions'!$A$7:$G$11,5,FALSE)))</f>
        <v>16250000</v>
      </c>
      <c r="AX18" s="10">
        <f t="shared" si="15"/>
        <v>1</v>
      </c>
      <c r="AY18" s="9" t="str">
        <f t="shared" si="16"/>
        <v>Proxy split (assumption shares)</v>
      </c>
      <c r="AZ18" s="9" t="str">
        <f>'Regional Assumptions'!$B$2</f>
        <v>NA=US+Canada; EU=Europe; JP=Japan; ROW=Rest of World</v>
      </c>
    </row>
    <row r="19" spans="1:52" x14ac:dyDescent="0.35">
      <c r="A19" t="s">
        <v>293</v>
      </c>
      <c r="B19" t="s">
        <v>282</v>
      </c>
      <c r="C19" t="s">
        <v>42</v>
      </c>
      <c r="D19" s="8">
        <v>34830</v>
      </c>
      <c r="E19" t="s">
        <v>294</v>
      </c>
      <c r="F19" s="26">
        <v>1700000</v>
      </c>
      <c r="G19" s="7">
        <v>85000000</v>
      </c>
      <c r="H19" t="s">
        <v>55</v>
      </c>
      <c r="I19" t="s">
        <v>39</v>
      </c>
      <c r="J19" t="s">
        <v>282</v>
      </c>
      <c r="K19" s="14">
        <v>9260000</v>
      </c>
      <c r="L19" s="15">
        <v>3694740000</v>
      </c>
      <c r="M19" s="12" t="s">
        <v>423</v>
      </c>
      <c r="N19" s="10">
        <v>1994</v>
      </c>
      <c r="O19" s="10">
        <v>2000</v>
      </c>
      <c r="P19" s="16">
        <v>399.99</v>
      </c>
      <c r="Q19" s="16"/>
      <c r="R19" s="16">
        <f t="shared" si="0"/>
        <v>399.99</v>
      </c>
      <c r="S19" t="s">
        <v>456</v>
      </c>
      <c r="T19" s="16">
        <f t="shared" si="1"/>
        <v>399</v>
      </c>
      <c r="U19" s="17">
        <f t="shared" si="2"/>
        <v>0.99752493812345311</v>
      </c>
      <c r="V19" s="19" t="str">
        <f t="shared" si="3"/>
        <v>Lifetime</v>
      </c>
      <c r="W19" s="19" t="str">
        <f t="shared" si="4"/>
        <v/>
      </c>
      <c r="X19" s="20" t="str">
        <f t="shared" si="5"/>
        <v/>
      </c>
      <c r="Y19" s="19" t="str">
        <f t="shared" si="6"/>
        <v>Ended</v>
      </c>
      <c r="Z19" s="21">
        <f t="shared" si="7"/>
        <v>6</v>
      </c>
      <c r="AA19" s="21">
        <f t="shared" si="8"/>
        <v>0</v>
      </c>
      <c r="AB19" s="21">
        <f t="shared" si="9"/>
        <v>0</v>
      </c>
      <c r="AC19" s="19" t="str">
        <f t="shared" si="10"/>
        <v>Proxy (input)</v>
      </c>
      <c r="AD19" s="21">
        <f t="shared" si="11"/>
        <v>0</v>
      </c>
      <c r="AE19" s="19" t="str">
        <f t="shared" si="12"/>
        <v>Proxy (input)</v>
      </c>
      <c r="AF19" s="16">
        <f t="shared" si="13"/>
        <v>50</v>
      </c>
      <c r="AG19" s="22">
        <f t="shared" si="14"/>
        <v>0.183585313174946</v>
      </c>
      <c r="AH19" s="14">
        <f>IF($K19="","",$K19*IFERROR(VLOOKUP($B19,'Regional Assumptions'!$A$7:$G$11,2,FALSE),VLOOKUP("Default",'Regional Assumptions'!$A$7:$G$11,2,FALSE)))</f>
        <v>2315000</v>
      </c>
      <c r="AI19" s="14">
        <f>IF($K19="","",$K19*IFERROR(VLOOKUP($B19,'Regional Assumptions'!$A$7:$G$11,3,FALSE),VLOOKUP("Default",'Regional Assumptions'!$A$7:$G$11,3,FALSE)))</f>
        <v>2315000</v>
      </c>
      <c r="AJ19" s="14">
        <f>IF($K19="","",$K19*IFERROR(VLOOKUP($B19,'Regional Assumptions'!$A$7:$G$11,4,FALSE),VLOOKUP("Default",'Regional Assumptions'!$A$7:$G$11,4,FALSE)))</f>
        <v>2315000</v>
      </c>
      <c r="AK19" s="14">
        <f>IF($K19="","",$K19*IFERROR(VLOOKUP($B19,'Regional Assumptions'!$A$7:$G$11,5,FALSE),VLOOKUP("Default",'Regional Assumptions'!$A$7:$G$11,5,FALSE)))</f>
        <v>2315000</v>
      </c>
      <c r="AL19" s="15">
        <f>IF($L19="","",$L19*IFERROR(VLOOKUP($B19,'Regional Assumptions'!$A$7:$G$11,2,FALSE),VLOOKUP("Default",'Regional Assumptions'!$A$7:$G$11,2,FALSE)))</f>
        <v>923685000</v>
      </c>
      <c r="AM19" s="15">
        <f>IF($L19="","",$L19*IFERROR(VLOOKUP($B19,'Regional Assumptions'!$A$7:$G$11,3,FALSE),VLOOKUP("Default",'Regional Assumptions'!$A$7:$G$11,3,FALSE)))</f>
        <v>923685000</v>
      </c>
      <c r="AN19" s="15">
        <f>IF($L19="","",$L19*IFERROR(VLOOKUP($B19,'Regional Assumptions'!$A$7:$G$11,4,FALSE),VLOOKUP("Default",'Regional Assumptions'!$A$7:$G$11,4,FALSE)))</f>
        <v>923685000</v>
      </c>
      <c r="AO19" s="15">
        <f>IF($L19="","",$L19*IFERROR(VLOOKUP($B19,'Regional Assumptions'!$A$7:$G$11,5,FALSE),VLOOKUP("Default",'Regional Assumptions'!$A$7:$G$11,5,FALSE)))</f>
        <v>923685000</v>
      </c>
      <c r="AP19" s="14">
        <f>IF($F19="","",$F19*IFERROR(VLOOKUP($B19,'Regional Assumptions'!$A$7:$G$11,2,FALSE),VLOOKUP("Default",'Regional Assumptions'!$A$7:$G$11,2,FALSE)))</f>
        <v>425000</v>
      </c>
      <c r="AQ19" s="14">
        <f>IF($F19="","",$F19*IFERROR(VLOOKUP($B19,'Regional Assumptions'!$A$7:$G$11,3,FALSE),VLOOKUP("Default",'Regional Assumptions'!$A$7:$G$11,3,FALSE)))</f>
        <v>425000</v>
      </c>
      <c r="AR19" s="14">
        <f>IF($F19="","",$F19*IFERROR(VLOOKUP($B19,'Regional Assumptions'!$A$7:$G$11,4,FALSE),VLOOKUP("Default",'Regional Assumptions'!$A$7:$G$11,4,FALSE)))</f>
        <v>425000</v>
      </c>
      <c r="AS19" s="14">
        <f>IF($F19="","",$F19*IFERROR(VLOOKUP($B19,'Regional Assumptions'!$A$7:$G$11,5,FALSE),VLOOKUP("Default",'Regional Assumptions'!$A$7:$G$11,5,FALSE)))</f>
        <v>425000</v>
      </c>
      <c r="AT19" s="15">
        <f>IF($G19="","",$G19*IFERROR(VLOOKUP($B19,'Regional Assumptions'!$A$7:$G$11,2,FALSE),VLOOKUP("Default",'Regional Assumptions'!$A$7:$G$11,2,FALSE)))</f>
        <v>21250000</v>
      </c>
      <c r="AU19" s="15">
        <f>IF($G19="","",$G19*IFERROR(VLOOKUP($B19,'Regional Assumptions'!$A$7:$G$11,3,FALSE),VLOOKUP("Default",'Regional Assumptions'!$A$7:$G$11,3,FALSE)))</f>
        <v>21250000</v>
      </c>
      <c r="AV19" s="15">
        <f>IF($G19="","",$G19*IFERROR(VLOOKUP($B19,'Regional Assumptions'!$A$7:$G$11,4,FALSE),VLOOKUP("Default",'Regional Assumptions'!$A$7:$G$11,4,FALSE)))</f>
        <v>21250000</v>
      </c>
      <c r="AW19" s="15">
        <f>IF($G19="","",$G19*IFERROR(VLOOKUP($B19,'Regional Assumptions'!$A$7:$G$11,5,FALSE),VLOOKUP("Default",'Regional Assumptions'!$A$7:$G$11,5,FALSE)))</f>
        <v>21250000</v>
      </c>
      <c r="AX19" s="10">
        <f t="shared" si="15"/>
        <v>1</v>
      </c>
      <c r="AY19" s="9" t="str">
        <f t="shared" si="16"/>
        <v>Proxy split (assumption shares)</v>
      </c>
      <c r="AZ19" s="9" t="str">
        <f>'Regional Assumptions'!$B$2</f>
        <v>NA=US+Canada; EU=Europe; JP=Japan; ROW=Rest of World</v>
      </c>
    </row>
    <row r="20" spans="1:52" x14ac:dyDescent="0.35">
      <c r="A20" t="s">
        <v>34</v>
      </c>
      <c r="B20" t="s">
        <v>12</v>
      </c>
      <c r="C20" t="s">
        <v>28</v>
      </c>
      <c r="D20" s="8">
        <v>33473</v>
      </c>
      <c r="E20" t="s">
        <v>29</v>
      </c>
      <c r="F20" s="26">
        <v>20600000</v>
      </c>
      <c r="G20" s="7">
        <v>1236000000</v>
      </c>
      <c r="H20" t="s">
        <v>17</v>
      </c>
      <c r="I20" t="s">
        <v>39</v>
      </c>
      <c r="J20" t="s">
        <v>12</v>
      </c>
      <c r="K20" s="14">
        <v>49100000</v>
      </c>
      <c r="L20" s="15">
        <v>9770900000</v>
      </c>
      <c r="M20" s="12" t="s">
        <v>423</v>
      </c>
      <c r="N20" s="10">
        <v>1991</v>
      </c>
      <c r="O20" s="10">
        <v>2003</v>
      </c>
      <c r="P20" s="16">
        <v>199</v>
      </c>
      <c r="Q20" s="16"/>
      <c r="R20" s="16">
        <f t="shared" si="0"/>
        <v>199</v>
      </c>
      <c r="S20" t="s">
        <v>457</v>
      </c>
      <c r="T20" s="16">
        <f t="shared" si="1"/>
        <v>199</v>
      </c>
      <c r="U20" s="17">
        <f t="shared" si="2"/>
        <v>1</v>
      </c>
      <c r="V20" s="19" t="str">
        <f t="shared" si="3"/>
        <v>Lifetime</v>
      </c>
      <c r="W20" s="19" t="str">
        <f t="shared" si="4"/>
        <v/>
      </c>
      <c r="X20" s="20" t="str">
        <f t="shared" si="5"/>
        <v/>
      </c>
      <c r="Y20" s="19" t="str">
        <f t="shared" si="6"/>
        <v>Ended</v>
      </c>
      <c r="Z20" s="21">
        <f t="shared" si="7"/>
        <v>12</v>
      </c>
      <c r="AA20" s="21">
        <f t="shared" si="8"/>
        <v>0</v>
      </c>
      <c r="AB20" s="21">
        <f t="shared" si="9"/>
        <v>0</v>
      </c>
      <c r="AC20" s="19" t="str">
        <f t="shared" si="10"/>
        <v>Proxy (input)</v>
      </c>
      <c r="AD20" s="21">
        <f t="shared" si="11"/>
        <v>0</v>
      </c>
      <c r="AE20" s="19" t="str">
        <f t="shared" si="12"/>
        <v>Proxy (input)</v>
      </c>
      <c r="AF20" s="16">
        <f t="shared" si="13"/>
        <v>60</v>
      </c>
      <c r="AG20" s="22">
        <f t="shared" si="14"/>
        <v>0.41955193482688391</v>
      </c>
      <c r="AH20" s="14">
        <f>IF($K20="","",$K20*IFERROR(VLOOKUP($B20,'Regional Assumptions'!$A$7:$G$11,2,FALSE),VLOOKUP("Default",'Regional Assumptions'!$A$7:$G$11,2,FALSE)))</f>
        <v>12275000</v>
      </c>
      <c r="AI20" s="14">
        <f>IF($K20="","",$K20*IFERROR(VLOOKUP($B20,'Regional Assumptions'!$A$7:$G$11,3,FALSE),VLOOKUP("Default",'Regional Assumptions'!$A$7:$G$11,3,FALSE)))</f>
        <v>12275000</v>
      </c>
      <c r="AJ20" s="14">
        <f>IF($K20="","",$K20*IFERROR(VLOOKUP($B20,'Regional Assumptions'!$A$7:$G$11,4,FALSE),VLOOKUP("Default",'Regional Assumptions'!$A$7:$G$11,4,FALSE)))</f>
        <v>12275000</v>
      </c>
      <c r="AK20" s="14">
        <f>IF($K20="","",$K20*IFERROR(VLOOKUP($B20,'Regional Assumptions'!$A$7:$G$11,5,FALSE),VLOOKUP("Default",'Regional Assumptions'!$A$7:$G$11,5,FALSE)))</f>
        <v>12275000</v>
      </c>
      <c r="AL20" s="15">
        <f>IF($L20="","",$L20*IFERROR(VLOOKUP($B20,'Regional Assumptions'!$A$7:$G$11,2,FALSE),VLOOKUP("Default",'Regional Assumptions'!$A$7:$G$11,2,FALSE)))</f>
        <v>2442725000</v>
      </c>
      <c r="AM20" s="15">
        <f>IF($L20="","",$L20*IFERROR(VLOOKUP($B20,'Regional Assumptions'!$A$7:$G$11,3,FALSE),VLOOKUP("Default",'Regional Assumptions'!$A$7:$G$11,3,FALSE)))</f>
        <v>2442725000</v>
      </c>
      <c r="AN20" s="15">
        <f>IF($L20="","",$L20*IFERROR(VLOOKUP($B20,'Regional Assumptions'!$A$7:$G$11,4,FALSE),VLOOKUP("Default",'Regional Assumptions'!$A$7:$G$11,4,FALSE)))</f>
        <v>2442725000</v>
      </c>
      <c r="AO20" s="15">
        <f>IF($L20="","",$L20*IFERROR(VLOOKUP($B20,'Regional Assumptions'!$A$7:$G$11,5,FALSE),VLOOKUP("Default",'Regional Assumptions'!$A$7:$G$11,5,FALSE)))</f>
        <v>2442725000</v>
      </c>
      <c r="AP20" s="14">
        <f>IF($F20="","",$F20*IFERROR(VLOOKUP($B20,'Regional Assumptions'!$A$7:$G$11,2,FALSE),VLOOKUP("Default",'Regional Assumptions'!$A$7:$G$11,2,FALSE)))</f>
        <v>5150000</v>
      </c>
      <c r="AQ20" s="14">
        <f>IF($F20="","",$F20*IFERROR(VLOOKUP($B20,'Regional Assumptions'!$A$7:$G$11,3,FALSE),VLOOKUP("Default",'Regional Assumptions'!$A$7:$G$11,3,FALSE)))</f>
        <v>5150000</v>
      </c>
      <c r="AR20" s="14">
        <f>IF($F20="","",$F20*IFERROR(VLOOKUP($B20,'Regional Assumptions'!$A$7:$G$11,4,FALSE),VLOOKUP("Default",'Regional Assumptions'!$A$7:$G$11,4,FALSE)))</f>
        <v>5150000</v>
      </c>
      <c r="AS20" s="14">
        <f>IF($F20="","",$F20*IFERROR(VLOOKUP($B20,'Regional Assumptions'!$A$7:$G$11,5,FALSE),VLOOKUP("Default",'Regional Assumptions'!$A$7:$G$11,5,FALSE)))</f>
        <v>5150000</v>
      </c>
      <c r="AT20" s="15">
        <f>IF($G20="","",$G20*IFERROR(VLOOKUP($B20,'Regional Assumptions'!$A$7:$G$11,2,FALSE),VLOOKUP("Default",'Regional Assumptions'!$A$7:$G$11,2,FALSE)))</f>
        <v>309000000</v>
      </c>
      <c r="AU20" s="15">
        <f>IF($G20="","",$G20*IFERROR(VLOOKUP($B20,'Regional Assumptions'!$A$7:$G$11,3,FALSE),VLOOKUP("Default",'Regional Assumptions'!$A$7:$G$11,3,FALSE)))</f>
        <v>309000000</v>
      </c>
      <c r="AV20" s="15">
        <f>IF($G20="","",$G20*IFERROR(VLOOKUP($B20,'Regional Assumptions'!$A$7:$G$11,4,FALSE),VLOOKUP("Default",'Regional Assumptions'!$A$7:$G$11,4,FALSE)))</f>
        <v>309000000</v>
      </c>
      <c r="AW20" s="15">
        <f>IF($G20="","",$G20*IFERROR(VLOOKUP($B20,'Regional Assumptions'!$A$7:$G$11,5,FALSE),VLOOKUP("Default",'Regional Assumptions'!$A$7:$G$11,5,FALSE)))</f>
        <v>309000000</v>
      </c>
      <c r="AX20" s="10">
        <f t="shared" si="15"/>
        <v>1</v>
      </c>
      <c r="AY20" s="9" t="str">
        <f t="shared" si="16"/>
        <v>Proxy split (assumption shares)</v>
      </c>
      <c r="AZ20" s="9" t="str">
        <f>'Regional Assumptions'!$B$2</f>
        <v>NA=US+Canada; EU=Europe; JP=Japan; ROW=Rest of World</v>
      </c>
    </row>
    <row r="21" spans="1:52" x14ac:dyDescent="0.35">
      <c r="A21" t="s">
        <v>85</v>
      </c>
      <c r="B21" t="s">
        <v>12</v>
      </c>
      <c r="C21" t="s">
        <v>74</v>
      </c>
      <c r="D21" s="8">
        <v>42797</v>
      </c>
      <c r="E21" t="s">
        <v>86</v>
      </c>
      <c r="F21" s="26">
        <v>60000000</v>
      </c>
      <c r="G21" s="7">
        <v>3600000000</v>
      </c>
      <c r="H21" t="s">
        <v>77</v>
      </c>
      <c r="I21" t="s">
        <v>39</v>
      </c>
      <c r="J21" t="s">
        <v>12</v>
      </c>
      <c r="K21" s="14">
        <v>154010000</v>
      </c>
      <c r="L21" s="15">
        <v>46048990000</v>
      </c>
      <c r="M21" s="12" t="s">
        <v>458</v>
      </c>
      <c r="N21" s="10">
        <v>2017</v>
      </c>
      <c r="O21" s="10"/>
      <c r="P21" s="16">
        <v>299.99</v>
      </c>
      <c r="Q21" s="16"/>
      <c r="R21" s="16">
        <f t="shared" si="0"/>
        <v>299.99</v>
      </c>
      <c r="S21" t="s">
        <v>459</v>
      </c>
      <c r="T21" s="16">
        <f t="shared" si="1"/>
        <v>299</v>
      </c>
      <c r="U21" s="17">
        <f t="shared" si="2"/>
        <v>0.99669988999633319</v>
      </c>
      <c r="V21" s="19" t="str">
        <f t="shared" si="3"/>
        <v>AsOf</v>
      </c>
      <c r="W21" s="19" t="str">
        <f t="shared" si="4"/>
        <v>Year</v>
      </c>
      <c r="X21" s="20">
        <f t="shared" si="5"/>
        <v>46022</v>
      </c>
      <c r="Y21" s="19" t="str">
        <f t="shared" si="6"/>
        <v>Active</v>
      </c>
      <c r="Z21" s="21" t="str">
        <f t="shared" si="7"/>
        <v/>
      </c>
      <c r="AA21" s="21">
        <f t="shared" si="8"/>
        <v>0</v>
      </c>
      <c r="AB21" s="21">
        <f t="shared" si="9"/>
        <v>0</v>
      </c>
      <c r="AC21" s="19" t="str">
        <f t="shared" si="10"/>
        <v>Proxy (input)</v>
      </c>
      <c r="AD21" s="21">
        <f t="shared" si="11"/>
        <v>0</v>
      </c>
      <c r="AE21" s="19" t="str">
        <f t="shared" si="12"/>
        <v>Proxy (input)</v>
      </c>
      <c r="AF21" s="16">
        <f t="shared" si="13"/>
        <v>60</v>
      </c>
      <c r="AG21" s="22">
        <f t="shared" si="14"/>
        <v>0.38958509187715085</v>
      </c>
      <c r="AH21" s="14">
        <f>IF($K21="","",$K21*IFERROR(VLOOKUP($B21,'Regional Assumptions'!$A$7:$G$11,2,FALSE),VLOOKUP("Default",'Regional Assumptions'!$A$7:$G$11,2,FALSE)))</f>
        <v>38502500</v>
      </c>
      <c r="AI21" s="14">
        <f>IF($K21="","",$K21*IFERROR(VLOOKUP($B21,'Regional Assumptions'!$A$7:$G$11,3,FALSE),VLOOKUP("Default",'Regional Assumptions'!$A$7:$G$11,3,FALSE)))</f>
        <v>38502500</v>
      </c>
      <c r="AJ21" s="14">
        <f>IF($K21="","",$K21*IFERROR(VLOOKUP($B21,'Regional Assumptions'!$A$7:$G$11,4,FALSE),VLOOKUP("Default",'Regional Assumptions'!$A$7:$G$11,4,FALSE)))</f>
        <v>38502500</v>
      </c>
      <c r="AK21" s="14">
        <f>IF($K21="","",$K21*IFERROR(VLOOKUP($B21,'Regional Assumptions'!$A$7:$G$11,5,FALSE),VLOOKUP("Default",'Regional Assumptions'!$A$7:$G$11,5,FALSE)))</f>
        <v>38502500</v>
      </c>
      <c r="AL21" s="15">
        <f>IF($L21="","",$L21*IFERROR(VLOOKUP($B21,'Regional Assumptions'!$A$7:$G$11,2,FALSE),VLOOKUP("Default",'Regional Assumptions'!$A$7:$G$11,2,FALSE)))</f>
        <v>11512247500</v>
      </c>
      <c r="AM21" s="15">
        <f>IF($L21="","",$L21*IFERROR(VLOOKUP($B21,'Regional Assumptions'!$A$7:$G$11,3,FALSE),VLOOKUP("Default",'Regional Assumptions'!$A$7:$G$11,3,FALSE)))</f>
        <v>11512247500</v>
      </c>
      <c r="AN21" s="15">
        <f>IF($L21="","",$L21*IFERROR(VLOOKUP($B21,'Regional Assumptions'!$A$7:$G$11,4,FALSE),VLOOKUP("Default",'Regional Assumptions'!$A$7:$G$11,4,FALSE)))</f>
        <v>11512247500</v>
      </c>
      <c r="AO21" s="15">
        <f>IF($L21="","",$L21*IFERROR(VLOOKUP($B21,'Regional Assumptions'!$A$7:$G$11,5,FALSE),VLOOKUP("Default",'Regional Assumptions'!$A$7:$G$11,5,FALSE)))</f>
        <v>11512247500</v>
      </c>
      <c r="AP21" s="14">
        <f>IF($F21="","",$F21*IFERROR(VLOOKUP($B21,'Regional Assumptions'!$A$7:$G$11,2,FALSE),VLOOKUP("Default",'Regional Assumptions'!$A$7:$G$11,2,FALSE)))</f>
        <v>15000000</v>
      </c>
      <c r="AQ21" s="14">
        <f>IF($F21="","",$F21*IFERROR(VLOOKUP($B21,'Regional Assumptions'!$A$7:$G$11,3,FALSE),VLOOKUP("Default",'Regional Assumptions'!$A$7:$G$11,3,FALSE)))</f>
        <v>15000000</v>
      </c>
      <c r="AR21" s="14">
        <f>IF($F21="","",$F21*IFERROR(VLOOKUP($B21,'Regional Assumptions'!$A$7:$G$11,4,FALSE),VLOOKUP("Default",'Regional Assumptions'!$A$7:$G$11,4,FALSE)))</f>
        <v>15000000</v>
      </c>
      <c r="AS21" s="14">
        <f>IF($F21="","",$F21*IFERROR(VLOOKUP($B21,'Regional Assumptions'!$A$7:$G$11,5,FALSE),VLOOKUP("Default",'Regional Assumptions'!$A$7:$G$11,5,FALSE)))</f>
        <v>15000000</v>
      </c>
      <c r="AT21" s="15">
        <f>IF($G21="","",$G21*IFERROR(VLOOKUP($B21,'Regional Assumptions'!$A$7:$G$11,2,FALSE),VLOOKUP("Default",'Regional Assumptions'!$A$7:$G$11,2,FALSE)))</f>
        <v>900000000</v>
      </c>
      <c r="AU21" s="15">
        <f>IF($G21="","",$G21*IFERROR(VLOOKUP($B21,'Regional Assumptions'!$A$7:$G$11,3,FALSE),VLOOKUP("Default",'Regional Assumptions'!$A$7:$G$11,3,FALSE)))</f>
        <v>900000000</v>
      </c>
      <c r="AV21" s="15">
        <f>IF($G21="","",$G21*IFERROR(VLOOKUP($B21,'Regional Assumptions'!$A$7:$G$11,4,FALSE),VLOOKUP("Default",'Regional Assumptions'!$A$7:$G$11,4,FALSE)))</f>
        <v>900000000</v>
      </c>
      <c r="AW21" s="15">
        <f>IF($G21="","",$G21*IFERROR(VLOOKUP($B21,'Regional Assumptions'!$A$7:$G$11,5,FALSE),VLOOKUP("Default",'Regional Assumptions'!$A$7:$G$11,5,FALSE)))</f>
        <v>900000000</v>
      </c>
      <c r="AX21" s="10">
        <f t="shared" si="15"/>
        <v>1</v>
      </c>
      <c r="AY21" s="9" t="str">
        <f t="shared" si="16"/>
        <v>Proxy split (assumption shares)</v>
      </c>
      <c r="AZ21" s="9" t="str">
        <f>'Regional Assumptions'!$B$2</f>
        <v>NA=US+Canada; EU=Europe; JP=Japan; ROW=Rest of World</v>
      </c>
    </row>
    <row r="22" spans="1:52" x14ac:dyDescent="0.35">
      <c r="A22" t="s">
        <v>66</v>
      </c>
      <c r="B22" t="s">
        <v>12</v>
      </c>
      <c r="C22" t="s">
        <v>67</v>
      </c>
      <c r="D22" s="8">
        <v>39040</v>
      </c>
      <c r="E22" t="s">
        <v>68</v>
      </c>
      <c r="F22" s="26">
        <v>82900000</v>
      </c>
      <c r="G22" s="7">
        <v>3300000000</v>
      </c>
      <c r="H22" t="s">
        <v>72</v>
      </c>
      <c r="I22" t="s">
        <v>39</v>
      </c>
      <c r="J22" t="s">
        <v>12</v>
      </c>
      <c r="K22" s="14">
        <v>101630000</v>
      </c>
      <c r="L22" s="15">
        <v>25305870000</v>
      </c>
      <c r="M22" s="12" t="s">
        <v>423</v>
      </c>
      <c r="N22" s="10">
        <v>2006</v>
      </c>
      <c r="O22" s="10">
        <v>2014</v>
      </c>
      <c r="P22" s="16">
        <v>249.99</v>
      </c>
      <c r="Q22" s="16"/>
      <c r="R22" s="16">
        <f t="shared" si="0"/>
        <v>249.99</v>
      </c>
      <c r="S22" t="s">
        <v>460</v>
      </c>
      <c r="T22" s="16">
        <f t="shared" si="1"/>
        <v>249</v>
      </c>
      <c r="U22" s="17">
        <f t="shared" si="2"/>
        <v>0.99603984159366366</v>
      </c>
      <c r="V22" s="19" t="str">
        <f t="shared" si="3"/>
        <v>Lifetime</v>
      </c>
      <c r="W22" s="19" t="str">
        <f t="shared" si="4"/>
        <v/>
      </c>
      <c r="X22" s="20" t="str">
        <f t="shared" si="5"/>
        <v/>
      </c>
      <c r="Y22" s="19" t="str">
        <f t="shared" si="6"/>
        <v>Ended</v>
      </c>
      <c r="Z22" s="21">
        <f t="shared" si="7"/>
        <v>8</v>
      </c>
      <c r="AA22" s="21">
        <f t="shared" si="8"/>
        <v>0</v>
      </c>
      <c r="AB22" s="21">
        <f t="shared" si="9"/>
        <v>0</v>
      </c>
      <c r="AC22" s="19" t="str">
        <f t="shared" si="10"/>
        <v>Proxy (input)</v>
      </c>
      <c r="AD22" s="21">
        <f t="shared" si="11"/>
        <v>0</v>
      </c>
      <c r="AE22" s="19" t="str">
        <f t="shared" si="12"/>
        <v>Proxy (input)</v>
      </c>
      <c r="AF22" s="16">
        <f t="shared" si="13"/>
        <v>39.806996381182145</v>
      </c>
      <c r="AG22" s="22">
        <f t="shared" si="14"/>
        <v>0.81570402440224343</v>
      </c>
      <c r="AH22" s="14">
        <f>IF($K22="","",$K22*IFERROR(VLOOKUP($B22,'Regional Assumptions'!$A$7:$G$11,2,FALSE),VLOOKUP("Default",'Regional Assumptions'!$A$7:$G$11,2,FALSE)))</f>
        <v>25407500</v>
      </c>
      <c r="AI22" s="14">
        <f>IF($K22="","",$K22*IFERROR(VLOOKUP($B22,'Regional Assumptions'!$A$7:$G$11,3,FALSE),VLOOKUP("Default",'Regional Assumptions'!$A$7:$G$11,3,FALSE)))</f>
        <v>25407500</v>
      </c>
      <c r="AJ22" s="14">
        <f>IF($K22="","",$K22*IFERROR(VLOOKUP($B22,'Regional Assumptions'!$A$7:$G$11,4,FALSE),VLOOKUP("Default",'Regional Assumptions'!$A$7:$G$11,4,FALSE)))</f>
        <v>25407500</v>
      </c>
      <c r="AK22" s="14">
        <f>IF($K22="","",$K22*IFERROR(VLOOKUP($B22,'Regional Assumptions'!$A$7:$G$11,5,FALSE),VLOOKUP("Default",'Regional Assumptions'!$A$7:$G$11,5,FALSE)))</f>
        <v>25407500</v>
      </c>
      <c r="AL22" s="15">
        <f>IF($L22="","",$L22*IFERROR(VLOOKUP($B22,'Regional Assumptions'!$A$7:$G$11,2,FALSE),VLOOKUP("Default",'Regional Assumptions'!$A$7:$G$11,2,FALSE)))</f>
        <v>6326467500</v>
      </c>
      <c r="AM22" s="15">
        <f>IF($L22="","",$L22*IFERROR(VLOOKUP($B22,'Regional Assumptions'!$A$7:$G$11,3,FALSE),VLOOKUP("Default",'Regional Assumptions'!$A$7:$G$11,3,FALSE)))</f>
        <v>6326467500</v>
      </c>
      <c r="AN22" s="15">
        <f>IF($L22="","",$L22*IFERROR(VLOOKUP($B22,'Regional Assumptions'!$A$7:$G$11,4,FALSE),VLOOKUP("Default",'Regional Assumptions'!$A$7:$G$11,4,FALSE)))</f>
        <v>6326467500</v>
      </c>
      <c r="AO22" s="15">
        <f>IF($L22="","",$L22*IFERROR(VLOOKUP($B22,'Regional Assumptions'!$A$7:$G$11,5,FALSE),VLOOKUP("Default",'Regional Assumptions'!$A$7:$G$11,5,FALSE)))</f>
        <v>6326467500</v>
      </c>
      <c r="AP22" s="14">
        <f>IF($F22="","",$F22*IFERROR(VLOOKUP($B22,'Regional Assumptions'!$A$7:$G$11,2,FALSE),VLOOKUP("Default",'Regional Assumptions'!$A$7:$G$11,2,FALSE)))</f>
        <v>20725000</v>
      </c>
      <c r="AQ22" s="14">
        <f>IF($F22="","",$F22*IFERROR(VLOOKUP($B22,'Regional Assumptions'!$A$7:$G$11,3,FALSE),VLOOKUP("Default",'Regional Assumptions'!$A$7:$G$11,3,FALSE)))</f>
        <v>20725000</v>
      </c>
      <c r="AR22" s="14">
        <f>IF($F22="","",$F22*IFERROR(VLOOKUP($B22,'Regional Assumptions'!$A$7:$G$11,4,FALSE),VLOOKUP("Default",'Regional Assumptions'!$A$7:$G$11,4,FALSE)))</f>
        <v>20725000</v>
      </c>
      <c r="AS22" s="14">
        <f>IF($F22="","",$F22*IFERROR(VLOOKUP($B22,'Regional Assumptions'!$A$7:$G$11,5,FALSE),VLOOKUP("Default",'Regional Assumptions'!$A$7:$G$11,5,FALSE)))</f>
        <v>20725000</v>
      </c>
      <c r="AT22" s="15">
        <f>IF($G22="","",$G22*IFERROR(VLOOKUP($B22,'Regional Assumptions'!$A$7:$G$11,2,FALSE),VLOOKUP("Default",'Regional Assumptions'!$A$7:$G$11,2,FALSE)))</f>
        <v>825000000</v>
      </c>
      <c r="AU22" s="15">
        <f>IF($G22="","",$G22*IFERROR(VLOOKUP($B22,'Regional Assumptions'!$A$7:$G$11,3,FALSE),VLOOKUP("Default",'Regional Assumptions'!$A$7:$G$11,3,FALSE)))</f>
        <v>825000000</v>
      </c>
      <c r="AV22" s="15">
        <f>IF($G22="","",$G22*IFERROR(VLOOKUP($B22,'Regional Assumptions'!$A$7:$G$11,4,FALSE),VLOOKUP("Default",'Regional Assumptions'!$A$7:$G$11,4,FALSE)))</f>
        <v>825000000</v>
      </c>
      <c r="AW22" s="15">
        <f>IF($G22="","",$G22*IFERROR(VLOOKUP($B22,'Regional Assumptions'!$A$7:$G$11,5,FALSE),VLOOKUP("Default",'Regional Assumptions'!$A$7:$G$11,5,FALSE)))</f>
        <v>825000000</v>
      </c>
      <c r="AX22" s="10">
        <f t="shared" si="15"/>
        <v>1</v>
      </c>
      <c r="AY22" s="9" t="str">
        <f t="shared" si="16"/>
        <v>Proxy split (assumption shares)</v>
      </c>
      <c r="AZ22" s="9" t="str">
        <f>'Regional Assumptions'!$B$2</f>
        <v>NA=US+Canada; EU=Europe; JP=Japan; ROW=Rest of World</v>
      </c>
    </row>
    <row r="23" spans="1:52" x14ac:dyDescent="0.35">
      <c r="A23" t="s">
        <v>73</v>
      </c>
      <c r="B23" t="s">
        <v>12</v>
      </c>
      <c r="C23" t="s">
        <v>74</v>
      </c>
      <c r="D23" s="8">
        <v>41231</v>
      </c>
      <c r="E23" t="s">
        <v>75</v>
      </c>
      <c r="F23" s="26">
        <v>8460000</v>
      </c>
      <c r="G23" s="7">
        <v>423000000</v>
      </c>
      <c r="H23" t="s">
        <v>77</v>
      </c>
      <c r="I23" t="s">
        <v>39</v>
      </c>
      <c r="J23" t="s">
        <v>12</v>
      </c>
      <c r="K23" s="14">
        <v>13560000</v>
      </c>
      <c r="L23" s="15">
        <v>4054440000</v>
      </c>
      <c r="M23" s="12" t="s">
        <v>423</v>
      </c>
      <c r="N23" s="10">
        <v>2012</v>
      </c>
      <c r="O23" s="10">
        <v>2017</v>
      </c>
      <c r="P23" s="16">
        <v>299</v>
      </c>
      <c r="Q23" s="16">
        <v>349</v>
      </c>
      <c r="R23" s="16">
        <f t="shared" si="0"/>
        <v>324</v>
      </c>
      <c r="S23" t="s">
        <v>461</v>
      </c>
      <c r="T23" s="16">
        <f t="shared" si="1"/>
        <v>299</v>
      </c>
      <c r="U23" s="17">
        <f t="shared" si="2"/>
        <v>0.9228395061728395</v>
      </c>
      <c r="V23" s="19" t="str">
        <f t="shared" si="3"/>
        <v>Lifetime</v>
      </c>
      <c r="W23" s="19" t="str">
        <f t="shared" si="4"/>
        <v/>
      </c>
      <c r="X23" s="20" t="str">
        <f t="shared" si="5"/>
        <v/>
      </c>
      <c r="Y23" s="19" t="str">
        <f t="shared" si="6"/>
        <v>Ended</v>
      </c>
      <c r="Z23" s="21">
        <f t="shared" si="7"/>
        <v>5</v>
      </c>
      <c r="AA23" s="21">
        <f t="shared" si="8"/>
        <v>0</v>
      </c>
      <c r="AB23" s="21">
        <f t="shared" si="9"/>
        <v>0</v>
      </c>
      <c r="AC23" s="19" t="str">
        <f t="shared" si="10"/>
        <v>Proxy (input)</v>
      </c>
      <c r="AD23" s="21">
        <f t="shared" si="11"/>
        <v>0</v>
      </c>
      <c r="AE23" s="19" t="str">
        <f t="shared" si="12"/>
        <v>Proxy (input)</v>
      </c>
      <c r="AF23" s="16">
        <f t="shared" si="13"/>
        <v>50</v>
      </c>
      <c r="AG23" s="22">
        <f t="shared" si="14"/>
        <v>0.62389380530973448</v>
      </c>
      <c r="AH23" s="14">
        <f>IF($K23="","",$K23*IFERROR(VLOOKUP($B23,'Regional Assumptions'!$A$7:$G$11,2,FALSE),VLOOKUP("Default",'Regional Assumptions'!$A$7:$G$11,2,FALSE)))</f>
        <v>3390000</v>
      </c>
      <c r="AI23" s="14">
        <f>IF($K23="","",$K23*IFERROR(VLOOKUP($B23,'Regional Assumptions'!$A$7:$G$11,3,FALSE),VLOOKUP("Default",'Regional Assumptions'!$A$7:$G$11,3,FALSE)))</f>
        <v>3390000</v>
      </c>
      <c r="AJ23" s="14">
        <f>IF($K23="","",$K23*IFERROR(VLOOKUP($B23,'Regional Assumptions'!$A$7:$G$11,4,FALSE),VLOOKUP("Default",'Regional Assumptions'!$A$7:$G$11,4,FALSE)))</f>
        <v>3390000</v>
      </c>
      <c r="AK23" s="14">
        <f>IF($K23="","",$K23*IFERROR(VLOOKUP($B23,'Regional Assumptions'!$A$7:$G$11,5,FALSE),VLOOKUP("Default",'Regional Assumptions'!$A$7:$G$11,5,FALSE)))</f>
        <v>3390000</v>
      </c>
      <c r="AL23" s="15">
        <f>IF($L23="","",$L23*IFERROR(VLOOKUP($B23,'Regional Assumptions'!$A$7:$G$11,2,FALSE),VLOOKUP("Default",'Regional Assumptions'!$A$7:$G$11,2,FALSE)))</f>
        <v>1013610000</v>
      </c>
      <c r="AM23" s="15">
        <f>IF($L23="","",$L23*IFERROR(VLOOKUP($B23,'Regional Assumptions'!$A$7:$G$11,3,FALSE),VLOOKUP("Default",'Regional Assumptions'!$A$7:$G$11,3,FALSE)))</f>
        <v>1013610000</v>
      </c>
      <c r="AN23" s="15">
        <f>IF($L23="","",$L23*IFERROR(VLOOKUP($B23,'Regional Assumptions'!$A$7:$G$11,4,FALSE),VLOOKUP("Default",'Regional Assumptions'!$A$7:$G$11,4,FALSE)))</f>
        <v>1013610000</v>
      </c>
      <c r="AO23" s="15">
        <f>IF($L23="","",$L23*IFERROR(VLOOKUP($B23,'Regional Assumptions'!$A$7:$G$11,5,FALSE),VLOOKUP("Default",'Regional Assumptions'!$A$7:$G$11,5,FALSE)))</f>
        <v>1013610000</v>
      </c>
      <c r="AP23" s="14">
        <f>IF($F23="","",$F23*IFERROR(VLOOKUP($B23,'Regional Assumptions'!$A$7:$G$11,2,FALSE),VLOOKUP("Default",'Regional Assumptions'!$A$7:$G$11,2,FALSE)))</f>
        <v>2115000</v>
      </c>
      <c r="AQ23" s="14">
        <f>IF($F23="","",$F23*IFERROR(VLOOKUP($B23,'Regional Assumptions'!$A$7:$G$11,3,FALSE),VLOOKUP("Default",'Regional Assumptions'!$A$7:$G$11,3,FALSE)))</f>
        <v>2115000</v>
      </c>
      <c r="AR23" s="14">
        <f>IF($F23="","",$F23*IFERROR(VLOOKUP($B23,'Regional Assumptions'!$A$7:$G$11,4,FALSE),VLOOKUP("Default",'Regional Assumptions'!$A$7:$G$11,4,FALSE)))</f>
        <v>2115000</v>
      </c>
      <c r="AS23" s="14">
        <f>IF($F23="","",$F23*IFERROR(VLOOKUP($B23,'Regional Assumptions'!$A$7:$G$11,5,FALSE),VLOOKUP("Default",'Regional Assumptions'!$A$7:$G$11,5,FALSE)))</f>
        <v>2115000</v>
      </c>
      <c r="AT23" s="15">
        <f>IF($G23="","",$G23*IFERROR(VLOOKUP($B23,'Regional Assumptions'!$A$7:$G$11,2,FALSE),VLOOKUP("Default",'Regional Assumptions'!$A$7:$G$11,2,FALSE)))</f>
        <v>105750000</v>
      </c>
      <c r="AU23" s="15">
        <f>IF($G23="","",$G23*IFERROR(VLOOKUP($B23,'Regional Assumptions'!$A$7:$G$11,3,FALSE),VLOOKUP("Default",'Regional Assumptions'!$A$7:$G$11,3,FALSE)))</f>
        <v>105750000</v>
      </c>
      <c r="AV23" s="15">
        <f>IF($G23="","",$G23*IFERROR(VLOOKUP($B23,'Regional Assumptions'!$A$7:$G$11,4,FALSE),VLOOKUP("Default",'Regional Assumptions'!$A$7:$G$11,4,FALSE)))</f>
        <v>105750000</v>
      </c>
      <c r="AW23" s="15">
        <f>IF($G23="","",$G23*IFERROR(VLOOKUP($B23,'Regional Assumptions'!$A$7:$G$11,5,FALSE),VLOOKUP("Default",'Regional Assumptions'!$A$7:$G$11,5,FALSE)))</f>
        <v>105750000</v>
      </c>
      <c r="AX23" s="10">
        <f t="shared" si="15"/>
        <v>1</v>
      </c>
      <c r="AY23" s="9" t="str">
        <f t="shared" si="16"/>
        <v>Proxy split (assumption shares)</v>
      </c>
      <c r="AZ23" s="9" t="str">
        <f>'Regional Assumptions'!$B$2</f>
        <v>NA=US+Canada; EU=Europe; JP=Japan; ROW=Rest of World</v>
      </c>
    </row>
    <row r="24" spans="1:52" x14ac:dyDescent="0.35">
      <c r="A24" t="s">
        <v>231</v>
      </c>
      <c r="B24" t="s">
        <v>232</v>
      </c>
      <c r="C24" t="s">
        <v>52</v>
      </c>
      <c r="D24" s="8">
        <v>37210</v>
      </c>
      <c r="E24" t="s">
        <v>233</v>
      </c>
      <c r="F24" s="26">
        <v>5000000</v>
      </c>
      <c r="G24" s="7">
        <v>250000000</v>
      </c>
      <c r="H24" t="s">
        <v>235</v>
      </c>
      <c r="I24" t="s">
        <v>39</v>
      </c>
      <c r="J24" t="s">
        <v>462</v>
      </c>
      <c r="K24" s="14">
        <v>24000000</v>
      </c>
      <c r="L24" s="15">
        <v>7176000000</v>
      </c>
      <c r="M24" s="12" t="s">
        <v>423</v>
      </c>
      <c r="N24" s="10">
        <v>2001</v>
      </c>
      <c r="O24" s="10">
        <v>2005</v>
      </c>
      <c r="P24" s="16">
        <v>299</v>
      </c>
      <c r="Q24" s="16"/>
      <c r="R24" s="16">
        <f t="shared" si="0"/>
        <v>299</v>
      </c>
      <c r="S24" t="s">
        <v>463</v>
      </c>
      <c r="T24" s="16">
        <f t="shared" si="1"/>
        <v>299</v>
      </c>
      <c r="U24" s="17">
        <f t="shared" si="2"/>
        <v>1</v>
      </c>
      <c r="V24" s="19" t="str">
        <f t="shared" si="3"/>
        <v>Lifetime</v>
      </c>
      <c r="W24" s="19" t="str">
        <f t="shared" si="4"/>
        <v/>
      </c>
      <c r="X24" s="20" t="str">
        <f t="shared" si="5"/>
        <v/>
      </c>
      <c r="Y24" s="19" t="str">
        <f t="shared" si="6"/>
        <v>Ended</v>
      </c>
      <c r="Z24" s="21">
        <f t="shared" si="7"/>
        <v>4</v>
      </c>
      <c r="AA24" s="21">
        <f t="shared" si="8"/>
        <v>0</v>
      </c>
      <c r="AB24" s="21">
        <f t="shared" si="9"/>
        <v>0</v>
      </c>
      <c r="AC24" s="19" t="str">
        <f t="shared" si="10"/>
        <v>Proxy (input)</v>
      </c>
      <c r="AD24" s="21">
        <f t="shared" si="11"/>
        <v>0</v>
      </c>
      <c r="AE24" s="19" t="str">
        <f t="shared" si="12"/>
        <v>Proxy (input)</v>
      </c>
      <c r="AF24" s="16">
        <f t="shared" si="13"/>
        <v>50</v>
      </c>
      <c r="AG24" s="22">
        <f t="shared" si="14"/>
        <v>0.20833333333333334</v>
      </c>
      <c r="AH24" s="14">
        <f>IF($K24="","",$K24*IFERROR(VLOOKUP($B24,'Regional Assumptions'!$A$7:$G$11,2,FALSE),VLOOKUP("Default",'Regional Assumptions'!$A$7:$G$11,2,FALSE)))</f>
        <v>6000000</v>
      </c>
      <c r="AI24" s="14">
        <f>IF($K24="","",$K24*IFERROR(VLOOKUP($B24,'Regional Assumptions'!$A$7:$G$11,3,FALSE),VLOOKUP("Default",'Regional Assumptions'!$A$7:$G$11,3,FALSE)))</f>
        <v>6000000</v>
      </c>
      <c r="AJ24" s="14">
        <f>IF($K24="","",$K24*IFERROR(VLOOKUP($B24,'Regional Assumptions'!$A$7:$G$11,4,FALSE),VLOOKUP("Default",'Regional Assumptions'!$A$7:$G$11,4,FALSE)))</f>
        <v>6000000</v>
      </c>
      <c r="AK24" s="14">
        <f>IF($K24="","",$K24*IFERROR(VLOOKUP($B24,'Regional Assumptions'!$A$7:$G$11,5,FALSE),VLOOKUP("Default",'Regional Assumptions'!$A$7:$G$11,5,FALSE)))</f>
        <v>6000000</v>
      </c>
      <c r="AL24" s="15">
        <f>IF($L24="","",$L24*IFERROR(VLOOKUP($B24,'Regional Assumptions'!$A$7:$G$11,2,FALSE),VLOOKUP("Default",'Regional Assumptions'!$A$7:$G$11,2,FALSE)))</f>
        <v>1794000000</v>
      </c>
      <c r="AM24" s="15">
        <f>IF($L24="","",$L24*IFERROR(VLOOKUP($B24,'Regional Assumptions'!$A$7:$G$11,3,FALSE),VLOOKUP("Default",'Regional Assumptions'!$A$7:$G$11,3,FALSE)))</f>
        <v>1794000000</v>
      </c>
      <c r="AN24" s="15">
        <f>IF($L24="","",$L24*IFERROR(VLOOKUP($B24,'Regional Assumptions'!$A$7:$G$11,4,FALSE),VLOOKUP("Default",'Regional Assumptions'!$A$7:$G$11,4,FALSE)))</f>
        <v>1794000000</v>
      </c>
      <c r="AO24" s="15">
        <f>IF($L24="","",$L24*IFERROR(VLOOKUP($B24,'Regional Assumptions'!$A$7:$G$11,5,FALSE),VLOOKUP("Default",'Regional Assumptions'!$A$7:$G$11,5,FALSE)))</f>
        <v>1794000000</v>
      </c>
      <c r="AP24" s="14">
        <f>IF($F24="","",$F24*IFERROR(VLOOKUP($B24,'Regional Assumptions'!$A$7:$G$11,2,FALSE),VLOOKUP("Default",'Regional Assumptions'!$A$7:$G$11,2,FALSE)))</f>
        <v>1250000</v>
      </c>
      <c r="AQ24" s="14">
        <f>IF($F24="","",$F24*IFERROR(VLOOKUP($B24,'Regional Assumptions'!$A$7:$G$11,3,FALSE),VLOOKUP("Default",'Regional Assumptions'!$A$7:$G$11,3,FALSE)))</f>
        <v>1250000</v>
      </c>
      <c r="AR24" s="14">
        <f>IF($F24="","",$F24*IFERROR(VLOOKUP($B24,'Regional Assumptions'!$A$7:$G$11,4,FALSE),VLOOKUP("Default",'Regional Assumptions'!$A$7:$G$11,4,FALSE)))</f>
        <v>1250000</v>
      </c>
      <c r="AS24" s="14">
        <f>IF($F24="","",$F24*IFERROR(VLOOKUP($B24,'Regional Assumptions'!$A$7:$G$11,5,FALSE),VLOOKUP("Default",'Regional Assumptions'!$A$7:$G$11,5,FALSE)))</f>
        <v>1250000</v>
      </c>
      <c r="AT24" s="15">
        <f>IF($G24="","",$G24*IFERROR(VLOOKUP($B24,'Regional Assumptions'!$A$7:$G$11,2,FALSE),VLOOKUP("Default",'Regional Assumptions'!$A$7:$G$11,2,FALSE)))</f>
        <v>62500000</v>
      </c>
      <c r="AU24" s="15">
        <f>IF($G24="","",$G24*IFERROR(VLOOKUP($B24,'Regional Assumptions'!$A$7:$G$11,3,FALSE),VLOOKUP("Default",'Regional Assumptions'!$A$7:$G$11,3,FALSE)))</f>
        <v>62500000</v>
      </c>
      <c r="AV24" s="15">
        <f>IF($G24="","",$G24*IFERROR(VLOOKUP($B24,'Regional Assumptions'!$A$7:$G$11,4,FALSE),VLOOKUP("Default",'Regional Assumptions'!$A$7:$G$11,4,FALSE)))</f>
        <v>62500000</v>
      </c>
      <c r="AW24" s="15">
        <f>IF($G24="","",$G24*IFERROR(VLOOKUP($B24,'Regional Assumptions'!$A$7:$G$11,5,FALSE),VLOOKUP("Default",'Regional Assumptions'!$A$7:$G$11,5,FALSE)))</f>
        <v>62500000</v>
      </c>
      <c r="AX24" s="10">
        <f t="shared" si="15"/>
        <v>1</v>
      </c>
      <c r="AY24" s="9" t="str">
        <f t="shared" si="16"/>
        <v>Proxy split (assumption shares)</v>
      </c>
      <c r="AZ24" s="9" t="str">
        <f>'Regional Assumptions'!$B$2</f>
        <v>NA=US+Canada; EU=Europe; JP=Japan; ROW=Rest of World</v>
      </c>
    </row>
    <row r="25" spans="1:52" x14ac:dyDescent="0.35">
      <c r="A25" t="s">
        <v>244</v>
      </c>
      <c r="B25" t="s">
        <v>232</v>
      </c>
      <c r="C25" t="s">
        <v>67</v>
      </c>
      <c r="D25" s="8">
        <v>40486</v>
      </c>
      <c r="E25" t="s">
        <v>245</v>
      </c>
      <c r="F25" s="26">
        <v>24000000</v>
      </c>
      <c r="G25" s="7">
        <v>960000000</v>
      </c>
      <c r="H25" t="s">
        <v>452</v>
      </c>
      <c r="I25" t="s">
        <v>39</v>
      </c>
      <c r="J25" t="s">
        <v>464</v>
      </c>
      <c r="K25" s="14">
        <v>84000000</v>
      </c>
      <c r="L25" s="15">
        <v>25116000000</v>
      </c>
      <c r="M25" s="12" t="s">
        <v>465</v>
      </c>
      <c r="N25" s="10">
        <v>2005</v>
      </c>
      <c r="O25" s="10">
        <v>2016</v>
      </c>
      <c r="P25" s="16">
        <v>299</v>
      </c>
      <c r="Q25" s="16">
        <v>399</v>
      </c>
      <c r="R25" s="16">
        <f t="shared" si="0"/>
        <v>349</v>
      </c>
      <c r="S25" t="s">
        <v>466</v>
      </c>
      <c r="T25" s="16">
        <f t="shared" si="1"/>
        <v>299</v>
      </c>
      <c r="U25" s="17">
        <f t="shared" si="2"/>
        <v>0.85673352435530081</v>
      </c>
      <c r="V25" s="19" t="str">
        <f t="shared" si="3"/>
        <v>AsOf</v>
      </c>
      <c r="W25" s="19" t="str">
        <f t="shared" si="4"/>
        <v>Day</v>
      </c>
      <c r="X25" s="20">
        <f t="shared" si="5"/>
        <v>41799</v>
      </c>
      <c r="Y25" s="19" t="str">
        <f t="shared" si="6"/>
        <v>Ended</v>
      </c>
      <c r="Z25" s="21">
        <f t="shared" si="7"/>
        <v>11</v>
      </c>
      <c r="AA25" s="21">
        <f t="shared" si="8"/>
        <v>0</v>
      </c>
      <c r="AB25" s="21">
        <f t="shared" si="9"/>
        <v>0</v>
      </c>
      <c r="AC25" s="19" t="str">
        <f t="shared" si="10"/>
        <v>Proxy (input)</v>
      </c>
      <c r="AD25" s="21">
        <f t="shared" si="11"/>
        <v>0</v>
      </c>
      <c r="AE25" s="19" t="str">
        <f t="shared" si="12"/>
        <v>Proxy (input)</v>
      </c>
      <c r="AF25" s="16">
        <f t="shared" si="13"/>
        <v>40</v>
      </c>
      <c r="AG25" s="22">
        <f t="shared" si="14"/>
        <v>0.2857142857142857</v>
      </c>
      <c r="AH25" s="14">
        <f>IF($K25="","",$K25*IFERROR(VLOOKUP($B25,'Regional Assumptions'!$A$7:$G$11,2,FALSE),VLOOKUP("Default",'Regional Assumptions'!$A$7:$G$11,2,FALSE)))</f>
        <v>21000000</v>
      </c>
      <c r="AI25" s="14">
        <f>IF($K25="","",$K25*IFERROR(VLOOKUP($B25,'Regional Assumptions'!$A$7:$G$11,3,FALSE),VLOOKUP("Default",'Regional Assumptions'!$A$7:$G$11,3,FALSE)))</f>
        <v>21000000</v>
      </c>
      <c r="AJ25" s="14">
        <f>IF($K25="","",$K25*IFERROR(VLOOKUP($B25,'Regional Assumptions'!$A$7:$G$11,4,FALSE),VLOOKUP("Default",'Regional Assumptions'!$A$7:$G$11,4,FALSE)))</f>
        <v>21000000</v>
      </c>
      <c r="AK25" s="14">
        <f>IF($K25="","",$K25*IFERROR(VLOOKUP($B25,'Regional Assumptions'!$A$7:$G$11,5,FALSE),VLOOKUP("Default",'Regional Assumptions'!$A$7:$G$11,5,FALSE)))</f>
        <v>21000000</v>
      </c>
      <c r="AL25" s="15">
        <f>IF($L25="","",$L25*IFERROR(VLOOKUP($B25,'Regional Assumptions'!$A$7:$G$11,2,FALSE),VLOOKUP("Default",'Regional Assumptions'!$A$7:$G$11,2,FALSE)))</f>
        <v>6279000000</v>
      </c>
      <c r="AM25" s="15">
        <f>IF($L25="","",$L25*IFERROR(VLOOKUP($B25,'Regional Assumptions'!$A$7:$G$11,3,FALSE),VLOOKUP("Default",'Regional Assumptions'!$A$7:$G$11,3,FALSE)))</f>
        <v>6279000000</v>
      </c>
      <c r="AN25" s="15">
        <f>IF($L25="","",$L25*IFERROR(VLOOKUP($B25,'Regional Assumptions'!$A$7:$G$11,4,FALSE),VLOOKUP("Default",'Regional Assumptions'!$A$7:$G$11,4,FALSE)))</f>
        <v>6279000000</v>
      </c>
      <c r="AO25" s="15">
        <f>IF($L25="","",$L25*IFERROR(VLOOKUP($B25,'Regional Assumptions'!$A$7:$G$11,5,FALSE),VLOOKUP("Default",'Regional Assumptions'!$A$7:$G$11,5,FALSE)))</f>
        <v>6279000000</v>
      </c>
      <c r="AP25" s="14">
        <f>IF($F25="","",$F25*IFERROR(VLOOKUP($B25,'Regional Assumptions'!$A$7:$G$11,2,FALSE),VLOOKUP("Default",'Regional Assumptions'!$A$7:$G$11,2,FALSE)))</f>
        <v>6000000</v>
      </c>
      <c r="AQ25" s="14">
        <f>IF($F25="","",$F25*IFERROR(VLOOKUP($B25,'Regional Assumptions'!$A$7:$G$11,3,FALSE),VLOOKUP("Default",'Regional Assumptions'!$A$7:$G$11,3,FALSE)))</f>
        <v>6000000</v>
      </c>
      <c r="AR25" s="14">
        <f>IF($F25="","",$F25*IFERROR(VLOOKUP($B25,'Regional Assumptions'!$A$7:$G$11,4,FALSE),VLOOKUP("Default",'Regional Assumptions'!$A$7:$G$11,4,FALSE)))</f>
        <v>6000000</v>
      </c>
      <c r="AS25" s="14">
        <f>IF($F25="","",$F25*IFERROR(VLOOKUP($B25,'Regional Assumptions'!$A$7:$G$11,5,FALSE),VLOOKUP("Default",'Regional Assumptions'!$A$7:$G$11,5,FALSE)))</f>
        <v>6000000</v>
      </c>
      <c r="AT25" s="15">
        <f>IF($G25="","",$G25*IFERROR(VLOOKUP($B25,'Regional Assumptions'!$A$7:$G$11,2,FALSE),VLOOKUP("Default",'Regional Assumptions'!$A$7:$G$11,2,FALSE)))</f>
        <v>240000000</v>
      </c>
      <c r="AU25" s="15">
        <f>IF($G25="","",$G25*IFERROR(VLOOKUP($B25,'Regional Assumptions'!$A$7:$G$11,3,FALSE),VLOOKUP("Default",'Regional Assumptions'!$A$7:$G$11,3,FALSE)))</f>
        <v>240000000</v>
      </c>
      <c r="AV25" s="15">
        <f>IF($G25="","",$G25*IFERROR(VLOOKUP($B25,'Regional Assumptions'!$A$7:$G$11,4,FALSE),VLOOKUP("Default",'Regional Assumptions'!$A$7:$G$11,4,FALSE)))</f>
        <v>240000000</v>
      </c>
      <c r="AW25" s="15">
        <f>IF($G25="","",$G25*IFERROR(VLOOKUP($B25,'Regional Assumptions'!$A$7:$G$11,5,FALSE),VLOOKUP("Default",'Regional Assumptions'!$A$7:$G$11,5,FALSE)))</f>
        <v>240000000</v>
      </c>
      <c r="AX25" s="10">
        <f t="shared" si="15"/>
        <v>1</v>
      </c>
      <c r="AY25" s="9" t="str">
        <f t="shared" si="16"/>
        <v>Proxy split (assumption shares)</v>
      </c>
      <c r="AZ25" s="9" t="str">
        <f>'Regional Assumptions'!$B$2</f>
        <v>NA=US+Canada; EU=Europe; JP=Japan; ROW=Rest of World</v>
      </c>
    </row>
    <row r="26" spans="1:52" x14ac:dyDescent="0.35">
      <c r="A26" t="s">
        <v>257</v>
      </c>
      <c r="B26" t="s">
        <v>232</v>
      </c>
      <c r="C26" t="s">
        <v>74</v>
      </c>
      <c r="D26" s="8">
        <v>41600</v>
      </c>
      <c r="E26" t="s">
        <v>258</v>
      </c>
      <c r="F26" s="26">
        <v>9000000</v>
      </c>
      <c r="G26" s="7">
        <v>270000000</v>
      </c>
      <c r="H26" t="s">
        <v>264</v>
      </c>
      <c r="I26" t="s">
        <v>39</v>
      </c>
      <c r="J26" t="s">
        <v>467</v>
      </c>
      <c r="K26" s="14">
        <v>58000000</v>
      </c>
      <c r="L26" s="15">
        <v>28942000000</v>
      </c>
      <c r="M26" s="12" t="s">
        <v>468</v>
      </c>
      <c r="N26" s="10">
        <v>2013</v>
      </c>
      <c r="O26" s="10">
        <v>2020</v>
      </c>
      <c r="P26" s="16">
        <v>499</v>
      </c>
      <c r="Q26" s="16"/>
      <c r="R26" s="16">
        <f t="shared" si="0"/>
        <v>499</v>
      </c>
      <c r="S26" t="s">
        <v>469</v>
      </c>
      <c r="T26" s="16">
        <f t="shared" si="1"/>
        <v>499</v>
      </c>
      <c r="U26" s="17">
        <f t="shared" si="2"/>
        <v>1</v>
      </c>
      <c r="V26" s="19" t="str">
        <f t="shared" si="3"/>
        <v>AsOf</v>
      </c>
      <c r="W26" s="19" t="str">
        <f t="shared" si="4"/>
        <v>Month</v>
      </c>
      <c r="X26" s="20">
        <f t="shared" si="5"/>
        <v>45107</v>
      </c>
      <c r="Y26" s="19" t="str">
        <f t="shared" si="6"/>
        <v>Ended</v>
      </c>
      <c r="Z26" s="21">
        <f t="shared" si="7"/>
        <v>7</v>
      </c>
      <c r="AA26" s="21">
        <f t="shared" si="8"/>
        <v>0</v>
      </c>
      <c r="AB26" s="21">
        <f t="shared" si="9"/>
        <v>0</v>
      </c>
      <c r="AC26" s="19" t="str">
        <f t="shared" si="10"/>
        <v>Proxy (input)</v>
      </c>
      <c r="AD26" s="21">
        <f t="shared" si="11"/>
        <v>0</v>
      </c>
      <c r="AE26" s="19" t="str">
        <f t="shared" si="12"/>
        <v>Proxy (input)</v>
      </c>
      <c r="AF26" s="16">
        <f t="shared" si="13"/>
        <v>30</v>
      </c>
      <c r="AG26" s="22">
        <f t="shared" si="14"/>
        <v>0.15517241379310345</v>
      </c>
      <c r="AH26" s="14">
        <f>IF($K26="","",$K26*IFERROR(VLOOKUP($B26,'Regional Assumptions'!$A$7:$G$11,2,FALSE),VLOOKUP("Default",'Regional Assumptions'!$A$7:$G$11,2,FALSE)))</f>
        <v>14500000</v>
      </c>
      <c r="AI26" s="14">
        <f>IF($K26="","",$K26*IFERROR(VLOOKUP($B26,'Regional Assumptions'!$A$7:$G$11,3,FALSE),VLOOKUP("Default",'Regional Assumptions'!$A$7:$G$11,3,FALSE)))</f>
        <v>14500000</v>
      </c>
      <c r="AJ26" s="14">
        <f>IF($K26="","",$K26*IFERROR(VLOOKUP($B26,'Regional Assumptions'!$A$7:$G$11,4,FALSE),VLOOKUP("Default",'Regional Assumptions'!$A$7:$G$11,4,FALSE)))</f>
        <v>14500000</v>
      </c>
      <c r="AK26" s="14">
        <f>IF($K26="","",$K26*IFERROR(VLOOKUP($B26,'Regional Assumptions'!$A$7:$G$11,5,FALSE),VLOOKUP("Default",'Regional Assumptions'!$A$7:$G$11,5,FALSE)))</f>
        <v>14500000</v>
      </c>
      <c r="AL26" s="15">
        <f>IF($L26="","",$L26*IFERROR(VLOOKUP($B26,'Regional Assumptions'!$A$7:$G$11,2,FALSE),VLOOKUP("Default",'Regional Assumptions'!$A$7:$G$11,2,FALSE)))</f>
        <v>7235500000</v>
      </c>
      <c r="AM26" s="15">
        <f>IF($L26="","",$L26*IFERROR(VLOOKUP($B26,'Regional Assumptions'!$A$7:$G$11,3,FALSE),VLOOKUP("Default",'Regional Assumptions'!$A$7:$G$11,3,FALSE)))</f>
        <v>7235500000</v>
      </c>
      <c r="AN26" s="15">
        <f>IF($L26="","",$L26*IFERROR(VLOOKUP($B26,'Regional Assumptions'!$A$7:$G$11,4,FALSE),VLOOKUP("Default",'Regional Assumptions'!$A$7:$G$11,4,FALSE)))</f>
        <v>7235500000</v>
      </c>
      <c r="AO26" s="15">
        <f>IF($L26="","",$L26*IFERROR(VLOOKUP($B26,'Regional Assumptions'!$A$7:$G$11,5,FALSE),VLOOKUP("Default",'Regional Assumptions'!$A$7:$G$11,5,FALSE)))</f>
        <v>7235500000</v>
      </c>
      <c r="AP26" s="14">
        <f>IF($F26="","",$F26*IFERROR(VLOOKUP($B26,'Regional Assumptions'!$A$7:$G$11,2,FALSE),VLOOKUP("Default",'Regional Assumptions'!$A$7:$G$11,2,FALSE)))</f>
        <v>2250000</v>
      </c>
      <c r="AQ26" s="14">
        <f>IF($F26="","",$F26*IFERROR(VLOOKUP($B26,'Regional Assumptions'!$A$7:$G$11,3,FALSE),VLOOKUP("Default",'Regional Assumptions'!$A$7:$G$11,3,FALSE)))</f>
        <v>2250000</v>
      </c>
      <c r="AR26" s="14">
        <f>IF($F26="","",$F26*IFERROR(VLOOKUP($B26,'Regional Assumptions'!$A$7:$G$11,4,FALSE),VLOOKUP("Default",'Regional Assumptions'!$A$7:$G$11,4,FALSE)))</f>
        <v>2250000</v>
      </c>
      <c r="AS26" s="14">
        <f>IF($F26="","",$F26*IFERROR(VLOOKUP($B26,'Regional Assumptions'!$A$7:$G$11,5,FALSE),VLOOKUP("Default",'Regional Assumptions'!$A$7:$G$11,5,FALSE)))</f>
        <v>2250000</v>
      </c>
      <c r="AT26" s="15">
        <f>IF($G26="","",$G26*IFERROR(VLOOKUP($B26,'Regional Assumptions'!$A$7:$G$11,2,FALSE),VLOOKUP("Default",'Regional Assumptions'!$A$7:$G$11,2,FALSE)))</f>
        <v>67500000</v>
      </c>
      <c r="AU26" s="15">
        <f>IF($G26="","",$G26*IFERROR(VLOOKUP($B26,'Regional Assumptions'!$A$7:$G$11,3,FALSE),VLOOKUP("Default",'Regional Assumptions'!$A$7:$G$11,3,FALSE)))</f>
        <v>67500000</v>
      </c>
      <c r="AV26" s="15">
        <f>IF($G26="","",$G26*IFERROR(VLOOKUP($B26,'Regional Assumptions'!$A$7:$G$11,4,FALSE),VLOOKUP("Default",'Regional Assumptions'!$A$7:$G$11,4,FALSE)))</f>
        <v>67500000</v>
      </c>
      <c r="AW26" s="15">
        <f>IF($G26="","",$G26*IFERROR(VLOOKUP($B26,'Regional Assumptions'!$A$7:$G$11,5,FALSE),VLOOKUP("Default",'Regional Assumptions'!$A$7:$G$11,5,FALSE)))</f>
        <v>67500000</v>
      </c>
      <c r="AX26" s="10">
        <f t="shared" si="15"/>
        <v>1</v>
      </c>
      <c r="AY26" s="9" t="str">
        <f t="shared" si="16"/>
        <v>Proxy split (assumption shares)</v>
      </c>
      <c r="AZ26" s="9" t="str">
        <f>'Regional Assumptions'!$B$2</f>
        <v>NA=US+Canada; EU=Europe; JP=Japan; ROW=Rest of World</v>
      </c>
    </row>
    <row r="27" spans="1:52" x14ac:dyDescent="0.35">
      <c r="A27" t="s">
        <v>470</v>
      </c>
      <c r="B27" t="s">
        <v>232</v>
      </c>
      <c r="C27" t="s">
        <v>202</v>
      </c>
      <c r="D27" s="8">
        <v>44145</v>
      </c>
      <c r="E27" t="s">
        <v>271</v>
      </c>
      <c r="F27" s="26">
        <v>6500000</v>
      </c>
      <c r="G27" s="7">
        <v>455000000</v>
      </c>
      <c r="H27" t="s">
        <v>235</v>
      </c>
      <c r="I27" t="s">
        <v>39</v>
      </c>
      <c r="J27" t="s">
        <v>471</v>
      </c>
      <c r="K27" s="14">
        <v>28300000</v>
      </c>
      <c r="L27" s="15">
        <v>11291700000</v>
      </c>
      <c r="M27" s="12" t="s">
        <v>472</v>
      </c>
      <c r="N27" s="10">
        <v>2020</v>
      </c>
      <c r="O27" s="10"/>
      <c r="P27" s="16">
        <v>299</v>
      </c>
      <c r="Q27" s="16">
        <v>499</v>
      </c>
      <c r="R27" s="16">
        <f t="shared" si="0"/>
        <v>399</v>
      </c>
      <c r="S27" t="s">
        <v>473</v>
      </c>
      <c r="T27" s="16">
        <f t="shared" si="1"/>
        <v>399</v>
      </c>
      <c r="U27" s="17">
        <f t="shared" si="2"/>
        <v>1</v>
      </c>
      <c r="V27" s="19" t="str">
        <f t="shared" si="3"/>
        <v>AsOf</v>
      </c>
      <c r="W27" s="19" t="str">
        <f t="shared" si="4"/>
        <v>Month</v>
      </c>
      <c r="X27" s="20">
        <f t="shared" si="5"/>
        <v>45473</v>
      </c>
      <c r="Y27" s="19" t="str">
        <f t="shared" si="6"/>
        <v>Active</v>
      </c>
      <c r="Z27" s="21" t="str">
        <f t="shared" si="7"/>
        <v/>
      </c>
      <c r="AA27" s="21">
        <f t="shared" si="8"/>
        <v>0</v>
      </c>
      <c r="AB27" s="21">
        <f t="shared" si="9"/>
        <v>0</v>
      </c>
      <c r="AC27" s="19" t="str">
        <f t="shared" si="10"/>
        <v>Proxy (input)</v>
      </c>
      <c r="AD27" s="21">
        <f t="shared" si="11"/>
        <v>0</v>
      </c>
      <c r="AE27" s="19" t="str">
        <f t="shared" si="12"/>
        <v>Proxy (input)</v>
      </c>
      <c r="AF27" s="16">
        <f t="shared" si="13"/>
        <v>70</v>
      </c>
      <c r="AG27" s="22">
        <f t="shared" si="14"/>
        <v>0.22968197879858657</v>
      </c>
      <c r="AH27" s="14">
        <f>IF($K27="","",$K27*IFERROR(VLOOKUP($B27,'Regional Assumptions'!$A$7:$G$11,2,FALSE),VLOOKUP("Default",'Regional Assumptions'!$A$7:$G$11,2,FALSE)))</f>
        <v>7075000</v>
      </c>
      <c r="AI27" s="14">
        <f>IF($K27="","",$K27*IFERROR(VLOOKUP($B27,'Regional Assumptions'!$A$7:$G$11,3,FALSE),VLOOKUP("Default",'Regional Assumptions'!$A$7:$G$11,3,FALSE)))</f>
        <v>7075000</v>
      </c>
      <c r="AJ27" s="14">
        <f>IF($K27="","",$K27*IFERROR(VLOOKUP($B27,'Regional Assumptions'!$A$7:$G$11,4,FALSE),VLOOKUP("Default",'Regional Assumptions'!$A$7:$G$11,4,FALSE)))</f>
        <v>7075000</v>
      </c>
      <c r="AK27" s="14">
        <f>IF($K27="","",$K27*IFERROR(VLOOKUP($B27,'Regional Assumptions'!$A$7:$G$11,5,FALSE),VLOOKUP("Default",'Regional Assumptions'!$A$7:$G$11,5,FALSE)))</f>
        <v>7075000</v>
      </c>
      <c r="AL27" s="15">
        <f>IF($L27="","",$L27*IFERROR(VLOOKUP($B27,'Regional Assumptions'!$A$7:$G$11,2,FALSE),VLOOKUP("Default",'Regional Assumptions'!$A$7:$G$11,2,FALSE)))</f>
        <v>2822925000</v>
      </c>
      <c r="AM27" s="15">
        <f>IF($L27="","",$L27*IFERROR(VLOOKUP($B27,'Regional Assumptions'!$A$7:$G$11,3,FALSE),VLOOKUP("Default",'Regional Assumptions'!$A$7:$G$11,3,FALSE)))</f>
        <v>2822925000</v>
      </c>
      <c r="AN27" s="15">
        <f>IF($L27="","",$L27*IFERROR(VLOOKUP($B27,'Regional Assumptions'!$A$7:$G$11,4,FALSE),VLOOKUP("Default",'Regional Assumptions'!$A$7:$G$11,4,FALSE)))</f>
        <v>2822925000</v>
      </c>
      <c r="AO27" s="15">
        <f>IF($L27="","",$L27*IFERROR(VLOOKUP($B27,'Regional Assumptions'!$A$7:$G$11,5,FALSE),VLOOKUP("Default",'Regional Assumptions'!$A$7:$G$11,5,FALSE)))</f>
        <v>2822925000</v>
      </c>
      <c r="AP27" s="14">
        <f>IF($F27="","",$F27*IFERROR(VLOOKUP($B27,'Regional Assumptions'!$A$7:$G$11,2,FALSE),VLOOKUP("Default",'Regional Assumptions'!$A$7:$G$11,2,FALSE)))</f>
        <v>1625000</v>
      </c>
      <c r="AQ27" s="14">
        <f>IF($F27="","",$F27*IFERROR(VLOOKUP($B27,'Regional Assumptions'!$A$7:$G$11,3,FALSE),VLOOKUP("Default",'Regional Assumptions'!$A$7:$G$11,3,FALSE)))</f>
        <v>1625000</v>
      </c>
      <c r="AR27" s="14">
        <f>IF($F27="","",$F27*IFERROR(VLOOKUP($B27,'Regional Assumptions'!$A$7:$G$11,4,FALSE),VLOOKUP("Default",'Regional Assumptions'!$A$7:$G$11,4,FALSE)))</f>
        <v>1625000</v>
      </c>
      <c r="AS27" s="14">
        <f>IF($F27="","",$F27*IFERROR(VLOOKUP($B27,'Regional Assumptions'!$A$7:$G$11,5,FALSE),VLOOKUP("Default",'Regional Assumptions'!$A$7:$G$11,5,FALSE)))</f>
        <v>1625000</v>
      </c>
      <c r="AT27" s="15">
        <f>IF($G27="","",$G27*IFERROR(VLOOKUP($B27,'Regional Assumptions'!$A$7:$G$11,2,FALSE),VLOOKUP("Default",'Regional Assumptions'!$A$7:$G$11,2,FALSE)))</f>
        <v>113750000</v>
      </c>
      <c r="AU27" s="15">
        <f>IF($G27="","",$G27*IFERROR(VLOOKUP($B27,'Regional Assumptions'!$A$7:$G$11,3,FALSE),VLOOKUP("Default",'Regional Assumptions'!$A$7:$G$11,3,FALSE)))</f>
        <v>113750000</v>
      </c>
      <c r="AV27" s="15">
        <f>IF($G27="","",$G27*IFERROR(VLOOKUP($B27,'Regional Assumptions'!$A$7:$G$11,4,FALSE),VLOOKUP("Default",'Regional Assumptions'!$A$7:$G$11,4,FALSE)))</f>
        <v>113750000</v>
      </c>
      <c r="AW27" s="15">
        <f>IF($G27="","",$G27*IFERROR(VLOOKUP($B27,'Regional Assumptions'!$A$7:$G$11,5,FALSE),VLOOKUP("Default",'Regional Assumptions'!$A$7:$G$11,5,FALSE)))</f>
        <v>113750000</v>
      </c>
      <c r="AX27" s="10">
        <f t="shared" si="15"/>
        <v>1</v>
      </c>
      <c r="AY27" s="9" t="str">
        <f t="shared" si="16"/>
        <v>Proxy split (assumption shares)</v>
      </c>
      <c r="AZ27" s="9" t="str">
        <f>'Regional Assumptions'!$B$2</f>
        <v>NA=US+Canada; EU=Europe; JP=Japan; ROW=Rest of World</v>
      </c>
    </row>
    <row r="28" spans="1:52" x14ac:dyDescent="0.35">
      <c r="A28" s="9" t="s">
        <v>344</v>
      </c>
      <c r="B28" s="9" t="s">
        <v>12</v>
      </c>
      <c r="C28" s="9" t="s">
        <v>202</v>
      </c>
      <c r="D28" s="25">
        <v>45813</v>
      </c>
      <c r="E28" s="9" t="s">
        <v>474</v>
      </c>
      <c r="F28" s="26">
        <v>9570000</v>
      </c>
      <c r="G28" s="11">
        <v>765504300</v>
      </c>
      <c r="H28" s="9" t="s">
        <v>77</v>
      </c>
      <c r="I28" s="9" t="s">
        <v>39</v>
      </c>
      <c r="J28" s="9" t="s">
        <v>12</v>
      </c>
      <c r="K28" s="14">
        <v>10360000</v>
      </c>
      <c r="L28" s="15">
        <f>IF($K28="","",$K28*$R28*IFERROR(VLOOKUP($B28,'Regional Assumptions'!$A$7:$G$11,6,FALSE),VLOOKUP("Default",'Regional Assumptions'!$A$7:$G$11,6,FALSE)))</f>
        <v>4657519295.6410093</v>
      </c>
      <c r="M28" s="12" t="s">
        <v>475</v>
      </c>
      <c r="N28" s="10">
        <v>2025</v>
      </c>
      <c r="O28" s="10"/>
      <c r="P28" s="24">
        <v>449.99</v>
      </c>
      <c r="Q28" s="24">
        <v>449.99</v>
      </c>
      <c r="R28" s="18">
        <f t="shared" si="0"/>
        <v>449.99</v>
      </c>
      <c r="S28" s="9" t="s">
        <v>476</v>
      </c>
      <c r="T28" s="18">
        <f>IF(OR(K28="",L28=""),"",L28/K28)</f>
        <v>449.56749957924802</v>
      </c>
      <c r="U28" s="18">
        <f t="shared" si="2"/>
        <v>0.99906108931142468</v>
      </c>
      <c r="V28" s="19" t="str">
        <f t="shared" si="3"/>
        <v>AsOf</v>
      </c>
      <c r="W28" s="19" t="str">
        <f t="shared" si="4"/>
        <v>Day</v>
      </c>
      <c r="X28" s="20">
        <f t="shared" si="5"/>
        <v>45930</v>
      </c>
      <c r="Y28" s="19" t="str">
        <f t="shared" si="6"/>
        <v>Active</v>
      </c>
      <c r="Z28" s="21" t="str">
        <f t="shared" si="7"/>
        <v/>
      </c>
      <c r="AA28" s="10">
        <f t="shared" si="8"/>
        <v>0</v>
      </c>
      <c r="AB28" s="10">
        <f t="shared" si="9"/>
        <v>1</v>
      </c>
      <c r="AC28" s="19" t="str">
        <f t="shared" si="10"/>
        <v>Proxy (estimated)</v>
      </c>
      <c r="AD28" s="21">
        <f t="shared" si="11"/>
        <v>1</v>
      </c>
      <c r="AE28" s="19" t="str">
        <f t="shared" si="12"/>
        <v>Proxy (estimated)</v>
      </c>
      <c r="AF28" s="16">
        <f t="shared" si="13"/>
        <v>79.989999999999995</v>
      </c>
      <c r="AG28" s="22">
        <f t="shared" si="14"/>
        <v>0.92374517374517373</v>
      </c>
      <c r="AH28" s="14">
        <f>IF($K28="","",$K28*IFERROR(VLOOKUP($B28,'Regional Assumptions'!$A$7:$G$11,2,FALSE),VLOOKUP("Default",'Regional Assumptions'!$A$7:$G$11,2,FALSE)))</f>
        <v>2590000</v>
      </c>
      <c r="AI28" s="14">
        <f>IF($K28="","",$K28*IFERROR(VLOOKUP($B28,'Regional Assumptions'!$A$7:$G$11,3,FALSE),VLOOKUP("Default",'Regional Assumptions'!$A$7:$G$11,3,FALSE)))</f>
        <v>2590000</v>
      </c>
      <c r="AJ28" s="14">
        <f>IF($K28="","",$K28*IFERROR(VLOOKUP($B28,'Regional Assumptions'!$A$7:$G$11,4,FALSE),VLOOKUP("Default",'Regional Assumptions'!$A$7:$G$11,4,FALSE)))</f>
        <v>2590000</v>
      </c>
      <c r="AK28" s="14">
        <f>IF($K28="","",$K28*IFERROR(VLOOKUP($B28,'Regional Assumptions'!$A$7:$G$11,5,FALSE),VLOOKUP("Default",'Regional Assumptions'!$A$7:$G$11,5,FALSE)))</f>
        <v>2590000</v>
      </c>
      <c r="AL28" s="15">
        <f>IF($L28="","",$L28*IFERROR(VLOOKUP($B28,'Regional Assumptions'!$A$7:$G$11,2,FALSE),VLOOKUP("Default",'Regional Assumptions'!$A$7:$G$11,2,FALSE)))</f>
        <v>1164379823.9102523</v>
      </c>
      <c r="AM28" s="15">
        <f>IF($L28="","",$L28*IFERROR(VLOOKUP($B28,'Regional Assumptions'!$A$7:$G$11,3,FALSE),VLOOKUP("Default",'Regional Assumptions'!$A$7:$G$11,3,FALSE)))</f>
        <v>1164379823.9102523</v>
      </c>
      <c r="AN28" s="15">
        <f>IF($L28="","",$L28*IFERROR(VLOOKUP($B28,'Regional Assumptions'!$A$7:$G$11,4,FALSE),VLOOKUP("Default",'Regional Assumptions'!$A$7:$G$11,4,FALSE)))</f>
        <v>1164379823.9102523</v>
      </c>
      <c r="AO28" s="15">
        <f>IF($L28="","",$L28*IFERROR(VLOOKUP($B28,'Regional Assumptions'!$A$7:$G$11,5,FALSE),VLOOKUP("Default",'Regional Assumptions'!$A$7:$G$11,5,FALSE)))</f>
        <v>1164379823.9102523</v>
      </c>
      <c r="AP28" s="14">
        <f>IF($F28="","",$F28*IFERROR(VLOOKUP($B28,'Regional Assumptions'!$A$7:$G$11,2,FALSE),VLOOKUP("Default",'Regional Assumptions'!$A$7:$G$11,2,FALSE)))</f>
        <v>2392500</v>
      </c>
      <c r="AQ28" s="14">
        <f>IF($F28="","",$F28*IFERROR(VLOOKUP($B28,'Regional Assumptions'!$A$7:$G$11,3,FALSE),VLOOKUP("Default",'Regional Assumptions'!$A$7:$G$11,3,FALSE)))</f>
        <v>2392500</v>
      </c>
      <c r="AR28" s="14">
        <f>IF($F28="","",$F28*IFERROR(VLOOKUP($B28,'Regional Assumptions'!$A$7:$G$11,4,FALSE),VLOOKUP("Default",'Regional Assumptions'!$A$7:$G$11,4,FALSE)))</f>
        <v>2392500</v>
      </c>
      <c r="AS28" s="14">
        <f>IF($F28="","",$F28*IFERROR(VLOOKUP($B28,'Regional Assumptions'!$A$7:$G$11,5,FALSE),VLOOKUP("Default",'Regional Assumptions'!$A$7:$G$11,5,FALSE)))</f>
        <v>2392500</v>
      </c>
      <c r="AT28" s="15">
        <f>IF($G28="","",$G28*IFERROR(VLOOKUP($B28,'Regional Assumptions'!$A$7:$G$11,2,FALSE),VLOOKUP("Default",'Regional Assumptions'!$A$7:$G$11,2,FALSE)))</f>
        <v>191376075</v>
      </c>
      <c r="AU28" s="15">
        <f>IF($G28="","",$G28*IFERROR(VLOOKUP($B28,'Regional Assumptions'!$A$7:$G$11,3,FALSE),VLOOKUP("Default",'Regional Assumptions'!$A$7:$G$11,3,FALSE)))</f>
        <v>191376075</v>
      </c>
      <c r="AV28" s="15">
        <f>IF($G28="","",$G28*IFERROR(VLOOKUP($B28,'Regional Assumptions'!$A$7:$G$11,4,FALSE),VLOOKUP("Default",'Regional Assumptions'!$A$7:$G$11,4,FALSE)))</f>
        <v>191376075</v>
      </c>
      <c r="AW28" s="15">
        <f>IF($G28="","",$G28*IFERROR(VLOOKUP($B28,'Regional Assumptions'!$A$7:$G$11,5,FALSE),VLOOKUP("Default",'Regional Assumptions'!$A$7:$G$11,5,FALSE)))</f>
        <v>191376075</v>
      </c>
      <c r="AX28" s="10">
        <f t="shared" si="15"/>
        <v>1</v>
      </c>
      <c r="AY28" s="9" t="str">
        <f t="shared" si="16"/>
        <v>Proxy split (assumption shares)</v>
      </c>
      <c r="AZ28" s="9" t="str">
        <f>'Regional Assumptions'!$B$2</f>
        <v>NA=US+Canada; EU=Europe; JP=Japan; ROW=Rest of World</v>
      </c>
    </row>
    <row r="29" spans="1:52" x14ac:dyDescent="0.35">
      <c r="K29" s="10"/>
      <c r="L29" s="11"/>
      <c r="M29" s="12"/>
      <c r="N29" s="10"/>
      <c r="O29" s="10"/>
      <c r="V29" s="19"/>
      <c r="W29" s="19"/>
      <c r="X29" s="20"/>
      <c r="Y29" s="19"/>
      <c r="Z29" s="21"/>
      <c r="AA29" s="21"/>
      <c r="AB29" s="21"/>
      <c r="AC29" s="19"/>
      <c r="AD29" s="21"/>
      <c r="AE29" s="19"/>
      <c r="AF29" s="16"/>
      <c r="AG29" s="22"/>
      <c r="AH29" s="14"/>
      <c r="AI29" s="14"/>
      <c r="AJ29" s="14"/>
      <c r="AK29" s="14"/>
      <c r="AL29" s="15"/>
      <c r="AM29" s="15"/>
      <c r="AN29" s="15"/>
      <c r="AO29" s="15"/>
      <c r="AP29" s="14"/>
      <c r="AQ29" s="14"/>
      <c r="AR29" s="14"/>
      <c r="AS29" s="14"/>
      <c r="AT29" s="15"/>
      <c r="AU29" s="15"/>
      <c r="AV29" s="15"/>
      <c r="AW29" s="15"/>
      <c r="AX29" s="10"/>
      <c r="AY29" s="9"/>
      <c r="AZ29" s="9"/>
    </row>
    <row r="30" spans="1:52" x14ac:dyDescent="0.35">
      <c r="K30" s="10"/>
      <c r="L30" s="11"/>
      <c r="M30" s="12"/>
      <c r="N30" s="10"/>
      <c r="O30" s="10"/>
      <c r="V30" s="19"/>
      <c r="W30" s="19"/>
      <c r="X30" s="20"/>
      <c r="Y30" s="19"/>
      <c r="Z30" s="21"/>
      <c r="AA30" s="21"/>
      <c r="AB30" s="21"/>
      <c r="AC30" s="19"/>
      <c r="AD30" s="21"/>
      <c r="AE30" s="19"/>
      <c r="AF30" s="16"/>
      <c r="AG30" s="22"/>
      <c r="AH30" s="14"/>
      <c r="AI30" s="14"/>
      <c r="AJ30" s="14"/>
      <c r="AK30" s="14"/>
      <c r="AL30" s="15"/>
      <c r="AM30" s="15"/>
      <c r="AN30" s="15"/>
      <c r="AO30" s="15"/>
      <c r="AP30" s="14"/>
      <c r="AQ30" s="14"/>
      <c r="AR30" s="14"/>
      <c r="AS30" s="14"/>
      <c r="AT30" s="15"/>
      <c r="AU30" s="15"/>
      <c r="AV30" s="15"/>
      <c r="AW30" s="15"/>
      <c r="AX30" s="10"/>
      <c r="AY30" s="9"/>
      <c r="AZ30" s="9"/>
    </row>
    <row r="31" spans="1:52" x14ac:dyDescent="0.35">
      <c r="K31" s="10"/>
      <c r="L31" s="11"/>
      <c r="M31" s="12"/>
      <c r="N31" s="10"/>
      <c r="O31" s="10"/>
      <c r="V31" s="19"/>
      <c r="W31" s="19"/>
      <c r="X31" s="20"/>
      <c r="Y31" s="19"/>
      <c r="Z31" s="21"/>
      <c r="AA31" s="21"/>
      <c r="AB31" s="21"/>
      <c r="AC31" s="19"/>
      <c r="AD31" s="21"/>
      <c r="AE31" s="19"/>
      <c r="AF31" s="16"/>
      <c r="AG31" s="22"/>
      <c r="AH31" s="14"/>
      <c r="AI31" s="14"/>
      <c r="AJ31" s="14"/>
      <c r="AK31" s="14"/>
      <c r="AL31" s="15"/>
      <c r="AM31" s="15"/>
      <c r="AN31" s="15"/>
      <c r="AO31" s="15"/>
      <c r="AP31" s="14"/>
      <c r="AQ31" s="14"/>
      <c r="AR31" s="14"/>
      <c r="AS31" s="14"/>
      <c r="AT31" s="15"/>
      <c r="AU31" s="15"/>
      <c r="AV31" s="15"/>
      <c r="AW31" s="15"/>
      <c r="AX31" s="10"/>
      <c r="AY31" s="9"/>
      <c r="AZ31" s="9"/>
    </row>
    <row r="32" spans="1:52" x14ac:dyDescent="0.35">
      <c r="K32" s="10"/>
      <c r="L32" s="11"/>
      <c r="M32" s="12"/>
      <c r="N32" s="10"/>
      <c r="O32" s="10"/>
      <c r="V32" s="19"/>
      <c r="W32" s="19"/>
      <c r="X32" s="20"/>
      <c r="Y32" s="19"/>
      <c r="Z32" s="21"/>
      <c r="AA32" s="21"/>
      <c r="AB32" s="21"/>
      <c r="AC32" s="19"/>
      <c r="AD32" s="21"/>
      <c r="AE32" s="19"/>
      <c r="AF32" s="16"/>
      <c r="AG32" s="22"/>
      <c r="AH32" s="14"/>
      <c r="AI32" s="14"/>
      <c r="AJ32" s="14"/>
      <c r="AK32" s="14"/>
      <c r="AL32" s="15"/>
      <c r="AM32" s="15"/>
      <c r="AN32" s="15"/>
      <c r="AO32" s="15"/>
      <c r="AP32" s="14"/>
      <c r="AQ32" s="14"/>
      <c r="AR32" s="14"/>
      <c r="AS32" s="14"/>
      <c r="AT32" s="15"/>
      <c r="AU32" s="15"/>
      <c r="AV32" s="15"/>
      <c r="AW32" s="15"/>
      <c r="AX32" s="10"/>
      <c r="AY32" s="9"/>
      <c r="AZ32" s="9"/>
    </row>
    <row r="33" spans="11:52" x14ac:dyDescent="0.35">
      <c r="K33" s="10"/>
      <c r="L33" s="11"/>
      <c r="M33" s="12"/>
      <c r="N33" s="10"/>
      <c r="O33" s="10"/>
      <c r="V33" s="19"/>
      <c r="W33" s="19"/>
      <c r="X33" s="20"/>
      <c r="Y33" s="19"/>
      <c r="Z33" s="21"/>
      <c r="AA33" s="21"/>
      <c r="AB33" s="21"/>
      <c r="AC33" s="19"/>
      <c r="AD33" s="21"/>
      <c r="AE33" s="19"/>
      <c r="AF33" s="16"/>
      <c r="AG33" s="22"/>
      <c r="AH33" s="14"/>
      <c r="AI33" s="14"/>
      <c r="AJ33" s="14"/>
      <c r="AK33" s="14"/>
      <c r="AL33" s="15"/>
      <c r="AM33" s="15"/>
      <c r="AN33" s="15"/>
      <c r="AO33" s="15"/>
      <c r="AP33" s="14"/>
      <c r="AQ33" s="14"/>
      <c r="AR33" s="14"/>
      <c r="AS33" s="14"/>
      <c r="AT33" s="15"/>
      <c r="AU33" s="15"/>
      <c r="AV33" s="15"/>
      <c r="AW33" s="15"/>
      <c r="AX33" s="10"/>
      <c r="AY33" s="9"/>
      <c r="AZ33" s="9"/>
    </row>
    <row r="34" spans="11:52" x14ac:dyDescent="0.35">
      <c r="K34" s="10"/>
      <c r="L34" s="11"/>
      <c r="M34" s="12"/>
      <c r="N34" s="10"/>
      <c r="O34" s="10"/>
      <c r="V34" s="19"/>
      <c r="W34" s="19"/>
      <c r="X34" s="20"/>
      <c r="Y34" s="19"/>
      <c r="Z34" s="21"/>
      <c r="AA34" s="21"/>
      <c r="AB34" s="21"/>
      <c r="AC34" s="19"/>
      <c r="AD34" s="21"/>
      <c r="AE34" s="19"/>
      <c r="AF34" s="16"/>
      <c r="AG34" s="22"/>
      <c r="AH34" s="14"/>
      <c r="AI34" s="14"/>
      <c r="AJ34" s="14"/>
      <c r="AK34" s="14"/>
      <c r="AL34" s="15"/>
      <c r="AM34" s="15"/>
      <c r="AN34" s="15"/>
      <c r="AO34" s="15"/>
      <c r="AP34" s="14"/>
      <c r="AQ34" s="14"/>
      <c r="AR34" s="14"/>
      <c r="AS34" s="14"/>
      <c r="AT34" s="15"/>
      <c r="AU34" s="15"/>
      <c r="AV34" s="15"/>
      <c r="AW34" s="15"/>
      <c r="AX34" s="10"/>
      <c r="AY34" s="9"/>
      <c r="AZ34" s="9"/>
    </row>
    <row r="35" spans="11:52" x14ac:dyDescent="0.35">
      <c r="K35" s="10"/>
      <c r="L35" s="11"/>
      <c r="M35" s="12"/>
      <c r="N35" s="10"/>
      <c r="O35" s="10"/>
      <c r="V35" s="19"/>
      <c r="W35" s="19"/>
      <c r="X35" s="20"/>
      <c r="Y35" s="19"/>
      <c r="Z35" s="21"/>
      <c r="AA35" s="21"/>
      <c r="AB35" s="21"/>
      <c r="AC35" s="19"/>
      <c r="AD35" s="21"/>
      <c r="AE35" s="19"/>
      <c r="AF35" s="16"/>
      <c r="AG35" s="22"/>
      <c r="AH35" s="14"/>
      <c r="AI35" s="14"/>
      <c r="AJ35" s="14"/>
      <c r="AK35" s="14"/>
      <c r="AL35" s="15"/>
      <c r="AM35" s="15"/>
      <c r="AN35" s="15"/>
      <c r="AO35" s="15"/>
      <c r="AP35" s="14"/>
      <c r="AQ35" s="14"/>
      <c r="AR35" s="14"/>
      <c r="AS35" s="14"/>
      <c r="AT35" s="15"/>
      <c r="AU35" s="15"/>
      <c r="AV35" s="15"/>
      <c r="AW35" s="15"/>
      <c r="AX35" s="10"/>
      <c r="AY35" s="9"/>
      <c r="AZ35" s="9"/>
    </row>
    <row r="36" spans="11:52" x14ac:dyDescent="0.35">
      <c r="K36" s="10"/>
      <c r="L36" s="11"/>
      <c r="M36" s="12"/>
      <c r="N36" s="10"/>
      <c r="O36" s="10"/>
      <c r="V36" s="19"/>
      <c r="W36" s="19"/>
      <c r="X36" s="20"/>
      <c r="Y36" s="19"/>
      <c r="Z36" s="21"/>
      <c r="AA36" s="21"/>
      <c r="AB36" s="21"/>
      <c r="AC36" s="19"/>
      <c r="AD36" s="21"/>
      <c r="AE36" s="19"/>
      <c r="AF36" s="16"/>
      <c r="AG36" s="22"/>
      <c r="AH36" s="14"/>
      <c r="AI36" s="14"/>
      <c r="AJ36" s="14"/>
      <c r="AK36" s="14"/>
      <c r="AL36" s="15"/>
      <c r="AM36" s="15"/>
      <c r="AN36" s="15"/>
      <c r="AO36" s="15"/>
      <c r="AP36" s="14"/>
      <c r="AQ36" s="14"/>
      <c r="AR36" s="14"/>
      <c r="AS36" s="14"/>
      <c r="AT36" s="15"/>
      <c r="AU36" s="15"/>
      <c r="AV36" s="15"/>
      <c r="AW36" s="15"/>
      <c r="AX36" s="10"/>
      <c r="AY36" s="9"/>
      <c r="AZ36" s="9"/>
    </row>
    <row r="37" spans="11:52" x14ac:dyDescent="0.35">
      <c r="K37" s="10"/>
      <c r="L37" s="11"/>
      <c r="M37" s="12"/>
      <c r="N37" s="10"/>
      <c r="O37" s="10"/>
      <c r="V37" s="19"/>
      <c r="W37" s="19"/>
      <c r="X37" s="20"/>
      <c r="Y37" s="19"/>
      <c r="Z37" s="21"/>
      <c r="AA37" s="21"/>
      <c r="AB37" s="21"/>
      <c r="AC37" s="19"/>
      <c r="AD37" s="21"/>
      <c r="AE37" s="19"/>
      <c r="AF37" s="16"/>
      <c r="AG37" s="22"/>
      <c r="AH37" s="14"/>
      <c r="AI37" s="14"/>
      <c r="AJ37" s="14"/>
      <c r="AK37" s="14"/>
      <c r="AL37" s="15"/>
      <c r="AM37" s="15"/>
      <c r="AN37" s="15"/>
      <c r="AO37" s="15"/>
      <c r="AP37" s="14"/>
      <c r="AQ37" s="14"/>
      <c r="AR37" s="14"/>
      <c r="AS37" s="14"/>
      <c r="AT37" s="15"/>
      <c r="AU37" s="15"/>
      <c r="AV37" s="15"/>
      <c r="AW37" s="15"/>
      <c r="AX37" s="10"/>
      <c r="AY37" s="9"/>
      <c r="AZ37" s="9"/>
    </row>
    <row r="38" spans="11:52" x14ac:dyDescent="0.35">
      <c r="K38" s="10"/>
      <c r="L38" s="11"/>
      <c r="M38" s="12"/>
      <c r="N38" s="10"/>
      <c r="O38" s="10"/>
      <c r="V38" s="19"/>
      <c r="W38" s="19"/>
      <c r="X38" s="20"/>
      <c r="Y38" s="19"/>
      <c r="Z38" s="21"/>
      <c r="AA38" s="21"/>
      <c r="AB38" s="21"/>
      <c r="AC38" s="19"/>
      <c r="AD38" s="21"/>
      <c r="AE38" s="19"/>
      <c r="AF38" s="16"/>
      <c r="AG38" s="22"/>
      <c r="AH38" s="14"/>
      <c r="AI38" s="14"/>
      <c r="AJ38" s="14"/>
      <c r="AK38" s="14"/>
      <c r="AL38" s="15"/>
      <c r="AM38" s="15"/>
      <c r="AN38" s="15"/>
      <c r="AO38" s="15"/>
      <c r="AP38" s="14"/>
      <c r="AQ38" s="14"/>
      <c r="AR38" s="14"/>
      <c r="AS38" s="14"/>
      <c r="AT38" s="15"/>
      <c r="AU38" s="15"/>
      <c r="AV38" s="15"/>
      <c r="AW38" s="15"/>
      <c r="AX38" s="10"/>
      <c r="AY38" s="9"/>
      <c r="AZ38" s="9"/>
    </row>
    <row r="39" spans="11:52" x14ac:dyDescent="0.35">
      <c r="K39" s="10"/>
      <c r="L39" s="11"/>
      <c r="M39" s="12"/>
      <c r="N39" s="10"/>
      <c r="O39" s="10"/>
      <c r="V39" s="19"/>
      <c r="W39" s="19"/>
      <c r="X39" s="20"/>
      <c r="Y39" s="19"/>
      <c r="Z39" s="21"/>
      <c r="AA39" s="21"/>
      <c r="AB39" s="21"/>
      <c r="AC39" s="19"/>
      <c r="AD39" s="21"/>
      <c r="AE39" s="19"/>
      <c r="AF39" s="16"/>
      <c r="AG39" s="22"/>
      <c r="AH39" s="14"/>
      <c r="AI39" s="14"/>
      <c r="AJ39" s="14"/>
      <c r="AK39" s="14"/>
      <c r="AL39" s="15"/>
      <c r="AM39" s="15"/>
      <c r="AN39" s="15"/>
      <c r="AO39" s="15"/>
      <c r="AP39" s="14"/>
      <c r="AQ39" s="14"/>
      <c r="AR39" s="14"/>
      <c r="AS39" s="14"/>
      <c r="AT39" s="15"/>
      <c r="AU39" s="15"/>
      <c r="AV39" s="15"/>
      <c r="AW39" s="15"/>
      <c r="AX39" s="10"/>
      <c r="AY39" s="9"/>
      <c r="AZ39" s="9"/>
    </row>
    <row r="40" spans="11:52" x14ac:dyDescent="0.35">
      <c r="K40" s="10"/>
      <c r="L40" s="11"/>
      <c r="M40" s="12"/>
      <c r="N40" s="10"/>
      <c r="O40" s="10"/>
      <c r="V40" s="19"/>
      <c r="W40" s="19"/>
      <c r="X40" s="20"/>
      <c r="Y40" s="19"/>
      <c r="Z40" s="21"/>
      <c r="AA40" s="21"/>
      <c r="AB40" s="21"/>
      <c r="AC40" s="19"/>
      <c r="AD40" s="21"/>
      <c r="AE40" s="19"/>
      <c r="AF40" s="16"/>
      <c r="AG40" s="22"/>
      <c r="AH40" s="14"/>
      <c r="AI40" s="14"/>
      <c r="AJ40" s="14"/>
      <c r="AK40" s="14"/>
      <c r="AL40" s="15"/>
      <c r="AM40" s="15"/>
      <c r="AN40" s="15"/>
      <c r="AO40" s="15"/>
      <c r="AP40" s="14"/>
      <c r="AQ40" s="14"/>
      <c r="AR40" s="14"/>
      <c r="AS40" s="14"/>
      <c r="AT40" s="15"/>
      <c r="AU40" s="15"/>
      <c r="AV40" s="15"/>
      <c r="AW40" s="15"/>
      <c r="AX40" s="10"/>
      <c r="AY40" s="9"/>
      <c r="AZ40" s="9"/>
    </row>
    <row r="41" spans="11:52" x14ac:dyDescent="0.35">
      <c r="K41" s="10"/>
      <c r="L41" s="11"/>
      <c r="M41" s="12"/>
      <c r="N41" s="10"/>
      <c r="O41" s="10"/>
      <c r="V41" s="19"/>
      <c r="W41" s="19"/>
      <c r="X41" s="20"/>
      <c r="Y41" s="19"/>
      <c r="Z41" s="21"/>
      <c r="AA41" s="21"/>
      <c r="AB41" s="21"/>
      <c r="AC41" s="19"/>
      <c r="AD41" s="21"/>
      <c r="AE41" s="19"/>
      <c r="AF41" s="16"/>
      <c r="AG41" s="22"/>
      <c r="AH41" s="14"/>
      <c r="AI41" s="14"/>
      <c r="AJ41" s="14"/>
      <c r="AK41" s="14"/>
      <c r="AL41" s="15"/>
      <c r="AM41" s="15"/>
      <c r="AN41" s="15"/>
      <c r="AO41" s="15"/>
      <c r="AP41" s="14"/>
      <c r="AQ41" s="14"/>
      <c r="AR41" s="14"/>
      <c r="AS41" s="14"/>
      <c r="AT41" s="15"/>
      <c r="AU41" s="15"/>
      <c r="AV41" s="15"/>
      <c r="AW41" s="15"/>
      <c r="AX41" s="10"/>
      <c r="AY41" s="9"/>
      <c r="AZ41" s="9"/>
    </row>
    <row r="42" spans="11:52" x14ac:dyDescent="0.35">
      <c r="K42" s="10"/>
      <c r="L42" s="11"/>
      <c r="M42" s="12"/>
      <c r="N42" s="10"/>
      <c r="O42" s="10"/>
      <c r="V42" s="19"/>
      <c r="W42" s="19"/>
      <c r="X42" s="20"/>
      <c r="Y42" s="19"/>
      <c r="Z42" s="21"/>
      <c r="AA42" s="21"/>
      <c r="AB42" s="21"/>
      <c r="AC42" s="19"/>
      <c r="AD42" s="21"/>
      <c r="AE42" s="19"/>
      <c r="AF42" s="16"/>
      <c r="AG42" s="22"/>
      <c r="AH42" s="14"/>
      <c r="AI42" s="14"/>
      <c r="AJ42" s="14"/>
      <c r="AK42" s="14"/>
      <c r="AL42" s="15"/>
      <c r="AM42" s="15"/>
      <c r="AN42" s="15"/>
      <c r="AO42" s="15"/>
      <c r="AP42" s="14"/>
      <c r="AQ42" s="14"/>
      <c r="AR42" s="14"/>
      <c r="AS42" s="14"/>
      <c r="AT42" s="15"/>
      <c r="AU42" s="15"/>
      <c r="AV42" s="15"/>
      <c r="AW42" s="15"/>
      <c r="AX42" s="10"/>
      <c r="AY42" s="9"/>
      <c r="AZ42" s="9"/>
    </row>
    <row r="43" spans="11:52" x14ac:dyDescent="0.35">
      <c r="K43" s="10"/>
      <c r="L43" s="11"/>
      <c r="M43" s="12"/>
      <c r="N43" s="10"/>
      <c r="O43" s="10"/>
      <c r="V43" s="19"/>
      <c r="W43" s="19"/>
      <c r="X43" s="20"/>
      <c r="Y43" s="19"/>
      <c r="Z43" s="21"/>
      <c r="AA43" s="21"/>
      <c r="AB43" s="21"/>
      <c r="AC43" s="19"/>
      <c r="AD43" s="21"/>
      <c r="AE43" s="19"/>
      <c r="AF43" s="16"/>
      <c r="AG43" s="22"/>
      <c r="AH43" s="14"/>
      <c r="AI43" s="14"/>
      <c r="AJ43" s="14"/>
      <c r="AK43" s="14"/>
      <c r="AL43" s="15"/>
      <c r="AM43" s="15"/>
      <c r="AN43" s="15"/>
      <c r="AO43" s="15"/>
      <c r="AP43" s="14"/>
      <c r="AQ43" s="14"/>
      <c r="AR43" s="14"/>
      <c r="AS43" s="14"/>
      <c r="AT43" s="15"/>
      <c r="AU43" s="15"/>
      <c r="AV43" s="15"/>
      <c r="AW43" s="15"/>
      <c r="AX43" s="10"/>
      <c r="AY43" s="9"/>
      <c r="AZ43" s="9"/>
    </row>
    <row r="44" spans="11:52" x14ac:dyDescent="0.35">
      <c r="K44" s="10"/>
      <c r="L44" s="11"/>
      <c r="M44" s="12"/>
      <c r="N44" s="10"/>
      <c r="O44" s="10"/>
      <c r="V44" s="19"/>
      <c r="W44" s="19"/>
      <c r="X44" s="20"/>
      <c r="Y44" s="19"/>
      <c r="Z44" s="21"/>
      <c r="AA44" s="21"/>
      <c r="AB44" s="21"/>
      <c r="AC44" s="19"/>
      <c r="AD44" s="21"/>
      <c r="AE44" s="19"/>
      <c r="AF44" s="16"/>
      <c r="AG44" s="22"/>
      <c r="AH44" s="14"/>
      <c r="AI44" s="14"/>
      <c r="AJ44" s="14"/>
      <c r="AK44" s="14"/>
      <c r="AL44" s="15"/>
      <c r="AM44" s="15"/>
      <c r="AN44" s="15"/>
      <c r="AO44" s="15"/>
      <c r="AP44" s="14"/>
      <c r="AQ44" s="14"/>
      <c r="AR44" s="14"/>
      <c r="AS44" s="14"/>
      <c r="AT44" s="15"/>
      <c r="AU44" s="15"/>
      <c r="AV44" s="15"/>
      <c r="AW44" s="15"/>
      <c r="AX44" s="10"/>
      <c r="AY44" s="9"/>
      <c r="AZ44" s="9"/>
    </row>
    <row r="45" spans="11:52" x14ac:dyDescent="0.35">
      <c r="K45" s="10"/>
      <c r="L45" s="11"/>
      <c r="M45" s="12"/>
      <c r="N45" s="10"/>
      <c r="O45" s="10"/>
      <c r="V45" s="19"/>
      <c r="W45" s="19"/>
      <c r="X45" s="20"/>
      <c r="Y45" s="19"/>
      <c r="Z45" s="21"/>
      <c r="AA45" s="21"/>
      <c r="AB45" s="21"/>
      <c r="AC45" s="19"/>
      <c r="AD45" s="21"/>
      <c r="AE45" s="19"/>
      <c r="AF45" s="16"/>
      <c r="AG45" s="22"/>
      <c r="AH45" s="14"/>
      <c r="AI45" s="14"/>
      <c r="AJ45" s="14"/>
      <c r="AK45" s="14"/>
      <c r="AL45" s="15"/>
      <c r="AM45" s="15"/>
      <c r="AN45" s="15"/>
      <c r="AO45" s="15"/>
      <c r="AP45" s="14"/>
      <c r="AQ45" s="14"/>
      <c r="AR45" s="14"/>
      <c r="AS45" s="14"/>
      <c r="AT45" s="15"/>
      <c r="AU45" s="15"/>
      <c r="AV45" s="15"/>
      <c r="AW45" s="15"/>
      <c r="AX45" s="10"/>
      <c r="AY45" s="9"/>
      <c r="AZ45" s="9"/>
    </row>
    <row r="46" spans="11:52" x14ac:dyDescent="0.35">
      <c r="K46" s="10"/>
      <c r="L46" s="11"/>
      <c r="M46" s="12"/>
      <c r="N46" s="10"/>
      <c r="O46" s="10"/>
      <c r="V46" s="19"/>
      <c r="W46" s="19"/>
      <c r="X46" s="20"/>
      <c r="Y46" s="19"/>
      <c r="Z46" s="21"/>
      <c r="AA46" s="21"/>
      <c r="AB46" s="21"/>
      <c r="AC46" s="19"/>
      <c r="AD46" s="21"/>
      <c r="AE46" s="19"/>
      <c r="AF46" s="16"/>
      <c r="AG46" s="22"/>
      <c r="AH46" s="14"/>
      <c r="AI46" s="14"/>
      <c r="AJ46" s="14"/>
      <c r="AK46" s="14"/>
      <c r="AL46" s="15"/>
      <c r="AM46" s="15"/>
      <c r="AN46" s="15"/>
      <c r="AO46" s="15"/>
      <c r="AP46" s="14"/>
      <c r="AQ46" s="14"/>
      <c r="AR46" s="14"/>
      <c r="AS46" s="14"/>
      <c r="AT46" s="15"/>
      <c r="AU46" s="15"/>
      <c r="AV46" s="15"/>
      <c r="AW46" s="15"/>
      <c r="AX46" s="10"/>
      <c r="AY46" s="9"/>
      <c r="AZ46" s="9"/>
    </row>
    <row r="47" spans="11:52" x14ac:dyDescent="0.35">
      <c r="K47" s="10"/>
      <c r="L47" s="11"/>
      <c r="M47" s="12"/>
      <c r="N47" s="10"/>
      <c r="O47" s="10"/>
      <c r="V47" s="19"/>
      <c r="W47" s="19"/>
      <c r="X47" s="20"/>
      <c r="Y47" s="19"/>
      <c r="Z47" s="21"/>
      <c r="AA47" s="21"/>
      <c r="AB47" s="21"/>
      <c r="AC47" s="19"/>
      <c r="AD47" s="21"/>
      <c r="AE47" s="19"/>
      <c r="AF47" s="16"/>
      <c r="AG47" s="22"/>
      <c r="AH47" s="14"/>
      <c r="AI47" s="14"/>
      <c r="AJ47" s="14"/>
      <c r="AK47" s="14"/>
      <c r="AL47" s="15"/>
      <c r="AM47" s="15"/>
      <c r="AN47" s="15"/>
      <c r="AO47" s="15"/>
      <c r="AP47" s="14"/>
      <c r="AQ47" s="14"/>
      <c r="AR47" s="14"/>
      <c r="AS47" s="14"/>
      <c r="AT47" s="15"/>
      <c r="AU47" s="15"/>
      <c r="AV47" s="15"/>
      <c r="AW47" s="15"/>
      <c r="AX47" s="10"/>
      <c r="AY47" s="9"/>
      <c r="AZ47" s="9"/>
    </row>
    <row r="48" spans="11:52" x14ac:dyDescent="0.35">
      <c r="K48" s="10"/>
      <c r="L48" s="11"/>
      <c r="M48" s="12"/>
      <c r="N48" s="10"/>
      <c r="O48" s="10"/>
      <c r="V48" s="19"/>
      <c r="W48" s="19"/>
      <c r="X48" s="20"/>
      <c r="Y48" s="19"/>
      <c r="Z48" s="21"/>
      <c r="AA48" s="21"/>
      <c r="AB48" s="21"/>
      <c r="AC48" s="19"/>
      <c r="AD48" s="21"/>
      <c r="AE48" s="19"/>
      <c r="AF48" s="16"/>
      <c r="AG48" s="22"/>
      <c r="AH48" s="14"/>
      <c r="AI48" s="14"/>
      <c r="AJ48" s="14"/>
      <c r="AK48" s="14"/>
      <c r="AL48" s="15"/>
      <c r="AM48" s="15"/>
      <c r="AN48" s="15"/>
      <c r="AO48" s="15"/>
      <c r="AP48" s="14"/>
      <c r="AQ48" s="14"/>
      <c r="AR48" s="14"/>
      <c r="AS48" s="14"/>
      <c r="AT48" s="15"/>
      <c r="AU48" s="15"/>
      <c r="AV48" s="15"/>
      <c r="AW48" s="15"/>
      <c r="AX48" s="10"/>
      <c r="AY48" s="9"/>
      <c r="AZ48" s="9"/>
    </row>
    <row r="49" spans="11:52" x14ac:dyDescent="0.35">
      <c r="K49" s="10"/>
      <c r="L49" s="11"/>
      <c r="M49" s="12"/>
      <c r="N49" s="10"/>
      <c r="O49" s="10"/>
      <c r="V49" s="19"/>
      <c r="W49" s="19"/>
      <c r="X49" s="20"/>
      <c r="Y49" s="19"/>
      <c r="Z49" s="21"/>
      <c r="AA49" s="21"/>
      <c r="AB49" s="21"/>
      <c r="AC49" s="19"/>
      <c r="AD49" s="21"/>
      <c r="AE49" s="19"/>
      <c r="AF49" s="16"/>
      <c r="AG49" s="22"/>
      <c r="AH49" s="14"/>
      <c r="AI49" s="14"/>
      <c r="AJ49" s="14"/>
      <c r="AK49" s="14"/>
      <c r="AL49" s="15"/>
      <c r="AM49" s="15"/>
      <c r="AN49" s="15"/>
      <c r="AO49" s="15"/>
      <c r="AP49" s="14"/>
      <c r="AQ49" s="14"/>
      <c r="AR49" s="14"/>
      <c r="AS49" s="14"/>
      <c r="AT49" s="15"/>
      <c r="AU49" s="15"/>
      <c r="AV49" s="15"/>
      <c r="AW49" s="15"/>
      <c r="AX49" s="10"/>
      <c r="AY49" s="9"/>
      <c r="AZ49" s="9"/>
    </row>
    <row r="50" spans="11:52" x14ac:dyDescent="0.35">
      <c r="K50" s="10"/>
      <c r="L50" s="11"/>
      <c r="M50" s="12"/>
      <c r="N50" s="10"/>
      <c r="O50" s="10"/>
      <c r="V50" s="19"/>
      <c r="W50" s="19"/>
      <c r="X50" s="20"/>
      <c r="Y50" s="19"/>
      <c r="Z50" s="21"/>
      <c r="AA50" s="21"/>
      <c r="AB50" s="21"/>
      <c r="AC50" s="19"/>
      <c r="AD50" s="21"/>
      <c r="AE50" s="19"/>
      <c r="AF50" s="16"/>
      <c r="AG50" s="22"/>
      <c r="AH50" s="14"/>
      <c r="AI50" s="14"/>
      <c r="AJ50" s="14"/>
      <c r="AK50" s="14"/>
      <c r="AL50" s="15"/>
      <c r="AM50" s="15"/>
      <c r="AN50" s="15"/>
      <c r="AO50" s="15"/>
      <c r="AP50" s="14"/>
      <c r="AQ50" s="14"/>
      <c r="AR50" s="14"/>
      <c r="AS50" s="14"/>
      <c r="AT50" s="15"/>
      <c r="AU50" s="15"/>
      <c r="AV50" s="15"/>
      <c r="AW50" s="15"/>
      <c r="AX50" s="10"/>
      <c r="AY50" s="9"/>
      <c r="AZ50" s="9"/>
    </row>
    <row r="51" spans="11:52" x14ac:dyDescent="0.35">
      <c r="K51" s="10"/>
      <c r="L51" s="11"/>
      <c r="M51" s="12"/>
      <c r="N51" s="10"/>
      <c r="O51" s="10"/>
      <c r="V51" s="19"/>
      <c r="W51" s="19"/>
      <c r="X51" s="20"/>
      <c r="Y51" s="19"/>
      <c r="Z51" s="21"/>
      <c r="AA51" s="21"/>
      <c r="AB51" s="21"/>
      <c r="AC51" s="19"/>
      <c r="AD51" s="21"/>
      <c r="AE51" s="19"/>
      <c r="AF51" s="16"/>
      <c r="AG51" s="22"/>
      <c r="AH51" s="14"/>
      <c r="AI51" s="14"/>
      <c r="AJ51" s="14"/>
      <c r="AK51" s="14"/>
      <c r="AL51" s="15"/>
      <c r="AM51" s="15"/>
      <c r="AN51" s="15"/>
      <c r="AO51" s="15"/>
      <c r="AP51" s="14"/>
      <c r="AQ51" s="14"/>
      <c r="AR51" s="14"/>
      <c r="AS51" s="14"/>
      <c r="AT51" s="15"/>
      <c r="AU51" s="15"/>
      <c r="AV51" s="15"/>
      <c r="AW51" s="15"/>
      <c r="AX51" s="10"/>
      <c r="AY51" s="9"/>
      <c r="AZ51" s="9"/>
    </row>
    <row r="52" spans="11:52" x14ac:dyDescent="0.35">
      <c r="K52" s="10"/>
      <c r="L52" s="11"/>
      <c r="M52" s="12"/>
      <c r="N52" s="10"/>
      <c r="O52" s="10"/>
      <c r="V52" s="19"/>
      <c r="W52" s="19"/>
      <c r="X52" s="20"/>
      <c r="Y52" s="19"/>
      <c r="Z52" s="21"/>
      <c r="AA52" s="21"/>
      <c r="AB52" s="21"/>
      <c r="AC52" s="19"/>
      <c r="AD52" s="21"/>
      <c r="AE52" s="19"/>
      <c r="AF52" s="16"/>
      <c r="AG52" s="22"/>
      <c r="AH52" s="14"/>
      <c r="AI52" s="14"/>
      <c r="AJ52" s="14"/>
      <c r="AK52" s="14"/>
      <c r="AL52" s="15"/>
      <c r="AM52" s="15"/>
      <c r="AN52" s="15"/>
      <c r="AO52" s="15"/>
      <c r="AP52" s="14"/>
      <c r="AQ52" s="14"/>
      <c r="AR52" s="14"/>
      <c r="AS52" s="14"/>
      <c r="AT52" s="15"/>
      <c r="AU52" s="15"/>
      <c r="AV52" s="15"/>
      <c r="AW52" s="15"/>
      <c r="AX52" s="10"/>
      <c r="AY52" s="9"/>
      <c r="AZ52" s="9"/>
    </row>
    <row r="53" spans="11:52" x14ac:dyDescent="0.35">
      <c r="K53" s="10"/>
      <c r="L53" s="11"/>
      <c r="M53" s="12"/>
      <c r="N53" s="10"/>
      <c r="O53" s="10"/>
      <c r="V53" s="19"/>
      <c r="W53" s="19"/>
      <c r="X53" s="20"/>
      <c r="Y53" s="19"/>
      <c r="Z53" s="21"/>
      <c r="AA53" s="21"/>
      <c r="AB53" s="21"/>
      <c r="AC53" s="19"/>
      <c r="AD53" s="21"/>
      <c r="AE53" s="19"/>
      <c r="AF53" s="16"/>
      <c r="AG53" s="22"/>
      <c r="AH53" s="14"/>
      <c r="AI53" s="14"/>
      <c r="AJ53" s="14"/>
      <c r="AK53" s="14"/>
      <c r="AL53" s="15"/>
      <c r="AM53" s="15"/>
      <c r="AN53" s="15"/>
      <c r="AO53" s="15"/>
      <c r="AP53" s="14"/>
      <c r="AQ53" s="14"/>
      <c r="AR53" s="14"/>
      <c r="AS53" s="14"/>
      <c r="AT53" s="15"/>
      <c r="AU53" s="15"/>
      <c r="AV53" s="15"/>
      <c r="AW53" s="15"/>
      <c r="AX53" s="10"/>
      <c r="AY53" s="9"/>
      <c r="AZ53" s="9"/>
    </row>
    <row r="54" spans="11:52" x14ac:dyDescent="0.35">
      <c r="K54" s="10"/>
      <c r="L54" s="11"/>
      <c r="M54" s="12"/>
      <c r="N54" s="10"/>
      <c r="O54" s="10"/>
      <c r="V54" s="19"/>
      <c r="W54" s="19"/>
      <c r="X54" s="20"/>
      <c r="Y54" s="19"/>
      <c r="Z54" s="21"/>
      <c r="AA54" s="21"/>
      <c r="AB54" s="21"/>
      <c r="AC54" s="19"/>
      <c r="AD54" s="21"/>
      <c r="AE54" s="19"/>
      <c r="AF54" s="16"/>
      <c r="AG54" s="22"/>
      <c r="AH54" s="14"/>
      <c r="AI54" s="14"/>
      <c r="AJ54" s="14"/>
      <c r="AK54" s="14"/>
      <c r="AL54" s="15"/>
      <c r="AM54" s="15"/>
      <c r="AN54" s="15"/>
      <c r="AO54" s="15"/>
      <c r="AP54" s="14"/>
      <c r="AQ54" s="14"/>
      <c r="AR54" s="14"/>
      <c r="AS54" s="14"/>
      <c r="AT54" s="15"/>
      <c r="AU54" s="15"/>
      <c r="AV54" s="15"/>
      <c r="AW54" s="15"/>
      <c r="AX54" s="10"/>
      <c r="AY54" s="9"/>
      <c r="AZ54" s="9"/>
    </row>
    <row r="55" spans="11:52" x14ac:dyDescent="0.35">
      <c r="K55" s="10"/>
      <c r="L55" s="11"/>
      <c r="M55" s="12"/>
      <c r="N55" s="10"/>
      <c r="O55" s="10"/>
      <c r="V55" s="19"/>
      <c r="W55" s="19"/>
      <c r="X55" s="20"/>
      <c r="Y55" s="19"/>
      <c r="Z55" s="21"/>
      <c r="AA55" s="21"/>
      <c r="AB55" s="21"/>
      <c r="AC55" s="19"/>
      <c r="AD55" s="21"/>
      <c r="AE55" s="19"/>
      <c r="AF55" s="16"/>
      <c r="AG55" s="22"/>
      <c r="AH55" s="14"/>
      <c r="AI55" s="14"/>
      <c r="AJ55" s="14"/>
      <c r="AK55" s="14"/>
      <c r="AL55" s="15"/>
      <c r="AM55" s="15"/>
      <c r="AN55" s="15"/>
      <c r="AO55" s="15"/>
      <c r="AP55" s="14"/>
      <c r="AQ55" s="14"/>
      <c r="AR55" s="14"/>
      <c r="AS55" s="14"/>
      <c r="AT55" s="15"/>
      <c r="AU55" s="15"/>
      <c r="AV55" s="15"/>
      <c r="AW55" s="15"/>
      <c r="AX55" s="10"/>
      <c r="AY55" s="9"/>
      <c r="AZ55" s="9"/>
    </row>
    <row r="56" spans="11:52" x14ac:dyDescent="0.35">
      <c r="K56" s="10"/>
      <c r="L56" s="11"/>
      <c r="M56" s="12"/>
      <c r="N56" s="10"/>
      <c r="O56" s="10"/>
      <c r="V56" s="19"/>
      <c r="W56" s="19"/>
      <c r="X56" s="20"/>
      <c r="Y56" s="19"/>
      <c r="Z56" s="21"/>
      <c r="AA56" s="21"/>
      <c r="AB56" s="21"/>
      <c r="AC56" s="19"/>
      <c r="AD56" s="21"/>
      <c r="AE56" s="19"/>
      <c r="AF56" s="16"/>
      <c r="AG56" s="22"/>
      <c r="AH56" s="14"/>
      <c r="AI56" s="14"/>
      <c r="AJ56" s="14"/>
      <c r="AK56" s="14"/>
      <c r="AL56" s="15"/>
      <c r="AM56" s="15"/>
      <c r="AN56" s="15"/>
      <c r="AO56" s="15"/>
      <c r="AP56" s="14"/>
      <c r="AQ56" s="14"/>
      <c r="AR56" s="14"/>
      <c r="AS56" s="14"/>
      <c r="AT56" s="15"/>
      <c r="AU56" s="15"/>
      <c r="AV56" s="15"/>
      <c r="AW56" s="15"/>
      <c r="AX56" s="10"/>
      <c r="AY56" s="9"/>
      <c r="AZ56" s="9"/>
    </row>
    <row r="57" spans="11:52" x14ac:dyDescent="0.35">
      <c r="K57" s="10"/>
      <c r="L57" s="11"/>
      <c r="M57" s="12"/>
      <c r="N57" s="10"/>
      <c r="O57" s="10"/>
      <c r="V57" s="19"/>
      <c r="W57" s="19"/>
      <c r="X57" s="20"/>
      <c r="Y57" s="19"/>
      <c r="Z57" s="21"/>
      <c r="AA57" s="21"/>
      <c r="AB57" s="21"/>
      <c r="AC57" s="19"/>
      <c r="AD57" s="21"/>
      <c r="AE57" s="19"/>
      <c r="AF57" s="16"/>
      <c r="AG57" s="22"/>
      <c r="AH57" s="14"/>
      <c r="AI57" s="14"/>
      <c r="AJ57" s="14"/>
      <c r="AK57" s="14"/>
      <c r="AL57" s="15"/>
      <c r="AM57" s="15"/>
      <c r="AN57" s="15"/>
      <c r="AO57" s="15"/>
      <c r="AP57" s="14"/>
      <c r="AQ57" s="14"/>
      <c r="AR57" s="14"/>
      <c r="AS57" s="14"/>
      <c r="AT57" s="15"/>
      <c r="AU57" s="15"/>
      <c r="AV57" s="15"/>
      <c r="AW57" s="15"/>
      <c r="AX57" s="10"/>
      <c r="AY57" s="9"/>
      <c r="AZ57" s="9"/>
    </row>
    <row r="58" spans="11:52" x14ac:dyDescent="0.35">
      <c r="K58" s="10"/>
      <c r="L58" s="11"/>
      <c r="M58" s="12"/>
      <c r="N58" s="10"/>
      <c r="O58" s="10"/>
      <c r="V58" s="19"/>
      <c r="W58" s="19"/>
      <c r="X58" s="20"/>
      <c r="Y58" s="19"/>
      <c r="Z58" s="21"/>
      <c r="AA58" s="21"/>
      <c r="AB58" s="21"/>
      <c r="AC58" s="19"/>
      <c r="AD58" s="21"/>
      <c r="AE58" s="19"/>
      <c r="AF58" s="16"/>
      <c r="AG58" s="22"/>
      <c r="AH58" s="14"/>
      <c r="AI58" s="14"/>
      <c r="AJ58" s="14"/>
      <c r="AK58" s="14"/>
      <c r="AL58" s="15"/>
      <c r="AM58" s="15"/>
      <c r="AN58" s="15"/>
      <c r="AO58" s="15"/>
      <c r="AP58" s="14"/>
      <c r="AQ58" s="14"/>
      <c r="AR58" s="14"/>
      <c r="AS58" s="14"/>
      <c r="AT58" s="15"/>
      <c r="AU58" s="15"/>
      <c r="AV58" s="15"/>
      <c r="AW58" s="15"/>
      <c r="AX58" s="10"/>
      <c r="AY58" s="9"/>
      <c r="AZ58" s="9"/>
    </row>
    <row r="59" spans="11:52" x14ac:dyDescent="0.35">
      <c r="K59" s="10"/>
      <c r="L59" s="11"/>
      <c r="M59" s="12"/>
      <c r="N59" s="10"/>
      <c r="O59" s="10"/>
      <c r="V59" s="19"/>
      <c r="W59" s="19"/>
      <c r="X59" s="20"/>
      <c r="Y59" s="19"/>
      <c r="Z59" s="21"/>
      <c r="AA59" s="21"/>
      <c r="AB59" s="21"/>
      <c r="AC59" s="19"/>
      <c r="AD59" s="21"/>
      <c r="AE59" s="19"/>
      <c r="AF59" s="16"/>
      <c r="AG59" s="22"/>
      <c r="AH59" s="14"/>
      <c r="AI59" s="14"/>
      <c r="AJ59" s="14"/>
      <c r="AK59" s="14"/>
      <c r="AL59" s="15"/>
      <c r="AM59" s="15"/>
      <c r="AN59" s="15"/>
      <c r="AO59" s="15"/>
      <c r="AP59" s="14"/>
      <c r="AQ59" s="14"/>
      <c r="AR59" s="14"/>
      <c r="AS59" s="14"/>
      <c r="AT59" s="15"/>
      <c r="AU59" s="15"/>
      <c r="AV59" s="15"/>
      <c r="AW59" s="15"/>
      <c r="AX59" s="10"/>
      <c r="AY59" s="9"/>
      <c r="AZ59" s="9"/>
    </row>
    <row r="60" spans="11:52" x14ac:dyDescent="0.35">
      <c r="K60" s="10"/>
      <c r="L60" s="11"/>
      <c r="M60" s="12"/>
      <c r="N60" s="10"/>
      <c r="O60" s="10"/>
      <c r="V60" s="19"/>
      <c r="W60" s="19"/>
      <c r="X60" s="20"/>
      <c r="Y60" s="19"/>
      <c r="Z60" s="21"/>
      <c r="AA60" s="21"/>
      <c r="AB60" s="21"/>
      <c r="AC60" s="19"/>
      <c r="AD60" s="21"/>
      <c r="AE60" s="19"/>
      <c r="AF60" s="16"/>
      <c r="AG60" s="22"/>
      <c r="AH60" s="14"/>
      <c r="AI60" s="14"/>
      <c r="AJ60" s="14"/>
      <c r="AK60" s="14"/>
      <c r="AL60" s="15"/>
      <c r="AM60" s="15"/>
      <c r="AN60" s="15"/>
      <c r="AO60" s="15"/>
      <c r="AP60" s="14"/>
      <c r="AQ60" s="14"/>
      <c r="AR60" s="14"/>
      <c r="AS60" s="14"/>
      <c r="AT60" s="15"/>
      <c r="AU60" s="15"/>
      <c r="AV60" s="15"/>
      <c r="AW60" s="15"/>
      <c r="AX60" s="10"/>
      <c r="AY60" s="9"/>
      <c r="AZ60" s="9"/>
    </row>
    <row r="61" spans="11:52" x14ac:dyDescent="0.35">
      <c r="K61" s="10"/>
      <c r="L61" s="11"/>
      <c r="M61" s="12"/>
      <c r="N61" s="10"/>
      <c r="O61" s="10"/>
      <c r="V61" s="19"/>
      <c r="W61" s="19"/>
      <c r="X61" s="20"/>
      <c r="Y61" s="19"/>
      <c r="Z61" s="21"/>
      <c r="AA61" s="21"/>
      <c r="AB61" s="21"/>
      <c r="AC61" s="19"/>
      <c r="AD61" s="21"/>
      <c r="AE61" s="19"/>
      <c r="AF61" s="16"/>
      <c r="AG61" s="22"/>
      <c r="AH61" s="14"/>
      <c r="AI61" s="14"/>
      <c r="AJ61" s="14"/>
      <c r="AK61" s="14"/>
      <c r="AL61" s="15"/>
      <c r="AM61" s="15"/>
      <c r="AN61" s="15"/>
      <c r="AO61" s="15"/>
      <c r="AP61" s="14"/>
      <c r="AQ61" s="14"/>
      <c r="AR61" s="14"/>
      <c r="AS61" s="14"/>
      <c r="AT61" s="15"/>
      <c r="AU61" s="15"/>
      <c r="AV61" s="15"/>
      <c r="AW61" s="15"/>
      <c r="AX61" s="10"/>
      <c r="AY61" s="9"/>
      <c r="AZ61" s="9"/>
    </row>
    <row r="62" spans="11:52" x14ac:dyDescent="0.35">
      <c r="K62" s="10"/>
      <c r="L62" s="11"/>
      <c r="M62" s="12"/>
      <c r="N62" s="10"/>
      <c r="O62" s="10"/>
      <c r="V62" s="19"/>
      <c r="W62" s="19"/>
      <c r="X62" s="20"/>
      <c r="Y62" s="19"/>
      <c r="Z62" s="21"/>
      <c r="AA62" s="21"/>
      <c r="AB62" s="21"/>
      <c r="AC62" s="19"/>
      <c r="AD62" s="21"/>
      <c r="AE62" s="19"/>
      <c r="AF62" s="16"/>
      <c r="AG62" s="22"/>
      <c r="AH62" s="14"/>
      <c r="AI62" s="14"/>
      <c r="AJ62" s="14"/>
      <c r="AK62" s="14"/>
      <c r="AL62" s="15"/>
      <c r="AM62" s="15"/>
      <c r="AN62" s="15"/>
      <c r="AO62" s="15"/>
      <c r="AP62" s="14"/>
      <c r="AQ62" s="14"/>
      <c r="AR62" s="14"/>
      <c r="AS62" s="14"/>
      <c r="AT62" s="15"/>
      <c r="AU62" s="15"/>
      <c r="AV62" s="15"/>
      <c r="AW62" s="15"/>
      <c r="AX62" s="10"/>
      <c r="AY62" s="9"/>
      <c r="AZ62" s="9"/>
    </row>
    <row r="63" spans="11:52" x14ac:dyDescent="0.35">
      <c r="K63" s="10"/>
      <c r="L63" s="11"/>
      <c r="M63" s="12"/>
      <c r="N63" s="10"/>
      <c r="O63" s="10"/>
      <c r="V63" s="19"/>
      <c r="W63" s="19"/>
      <c r="X63" s="20"/>
      <c r="Y63" s="19"/>
      <c r="Z63" s="21"/>
      <c r="AA63" s="21"/>
      <c r="AB63" s="21"/>
      <c r="AC63" s="19"/>
      <c r="AD63" s="21"/>
      <c r="AE63" s="19"/>
      <c r="AF63" s="16"/>
      <c r="AG63" s="22"/>
      <c r="AH63" s="14"/>
      <c r="AI63" s="14"/>
      <c r="AJ63" s="14"/>
      <c r="AK63" s="14"/>
      <c r="AL63" s="15"/>
      <c r="AM63" s="15"/>
      <c r="AN63" s="15"/>
      <c r="AO63" s="15"/>
      <c r="AP63" s="14"/>
      <c r="AQ63" s="14"/>
      <c r="AR63" s="14"/>
      <c r="AS63" s="14"/>
      <c r="AT63" s="15"/>
      <c r="AU63" s="15"/>
      <c r="AV63" s="15"/>
      <c r="AW63" s="15"/>
      <c r="AX63" s="10"/>
      <c r="AY63" s="9"/>
      <c r="AZ63" s="9"/>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rgb="FF00B0F0"/>
  </sheetPr>
  <dimension ref="A1:U79"/>
  <sheetViews>
    <sheetView zoomScale="80" zoomScaleNormal="80" workbookViewId="0">
      <selection activeCell="D7" sqref="D5:D21"/>
    </sheetView>
  </sheetViews>
  <sheetFormatPr defaultRowHeight="14.5" x14ac:dyDescent="0.35"/>
  <cols>
    <col min="1" max="1" width="18.6328125" bestFit="1" customWidth="1"/>
    <col min="2" max="2" width="25.81640625" bestFit="1" customWidth="1"/>
    <col min="3" max="3" width="52" bestFit="1" customWidth="1"/>
    <col min="4" max="4" width="18.08984375" bestFit="1" customWidth="1"/>
    <col min="5" max="5" width="31.90625" bestFit="1" customWidth="1"/>
    <col min="6" max="8" width="14.08984375" bestFit="1" customWidth="1"/>
    <col min="9" max="9" width="13.36328125" bestFit="1" customWidth="1"/>
    <col min="10" max="10" width="31.90625" bestFit="1" customWidth="1"/>
    <col min="11" max="11" width="18.6328125" bestFit="1" customWidth="1"/>
    <col min="12" max="13" width="14.08984375" bestFit="1" customWidth="1"/>
    <col min="14" max="28" width="15.08984375" bestFit="1" customWidth="1"/>
    <col min="29" max="29" width="11" bestFit="1" customWidth="1"/>
  </cols>
  <sheetData>
    <row r="1" spans="1:21" x14ac:dyDescent="0.35">
      <c r="A1" t="s">
        <v>594</v>
      </c>
      <c r="C1" t="s">
        <v>595</v>
      </c>
      <c r="E1" t="s">
        <v>596</v>
      </c>
      <c r="H1" t="s">
        <v>600</v>
      </c>
      <c r="I1" t="s">
        <v>601</v>
      </c>
      <c r="J1" t="s">
        <v>658</v>
      </c>
      <c r="K1" t="s">
        <v>657</v>
      </c>
      <c r="L1" t="s">
        <v>602</v>
      </c>
    </row>
    <row r="2" spans="1:21" x14ac:dyDescent="0.35">
      <c r="A2" s="35">
        <v>1140640000</v>
      </c>
      <c r="C2" s="29">
        <v>265056460000</v>
      </c>
      <c r="E2" s="30">
        <v>241.94117647058823</v>
      </c>
      <c r="H2" t="s">
        <v>299</v>
      </c>
      <c r="I2" t="s">
        <v>603</v>
      </c>
      <c r="J2" t="s">
        <v>300</v>
      </c>
      <c r="K2" t="s">
        <v>630</v>
      </c>
      <c r="L2" t="e" vm="1">
        <f>_xlfn.IMAGE(ConsoleURLs[[#This Row],[Game_URLs]],,1)</f>
        <v>#VALUE!</v>
      </c>
    </row>
    <row r="3" spans="1:21" x14ac:dyDescent="0.35">
      <c r="H3" t="s">
        <v>97</v>
      </c>
      <c r="I3" t="s">
        <v>604</v>
      </c>
      <c r="J3" t="s">
        <v>99</v>
      </c>
      <c r="K3" t="s">
        <v>631</v>
      </c>
      <c r="L3" t="e" vm="2">
        <f>_xlfn.IMAGE(ConsoleURLs[[#This Row],[Game_URLs]],,1)</f>
        <v>#VALUE!</v>
      </c>
    </row>
    <row r="4" spans="1:21" x14ac:dyDescent="0.35">
      <c r="A4" s="31" t="s">
        <v>597</v>
      </c>
      <c r="B4" t="s">
        <v>594</v>
      </c>
      <c r="D4" s="31" t="s">
        <v>597</v>
      </c>
      <c r="E4" t="s">
        <v>595</v>
      </c>
      <c r="H4" t="s">
        <v>111</v>
      </c>
      <c r="I4" t="s">
        <v>605</v>
      </c>
      <c r="J4" t="s">
        <v>121</v>
      </c>
      <c r="K4" t="s">
        <v>632</v>
      </c>
      <c r="L4" t="e" vm="3">
        <f>_xlfn.IMAGE(ConsoleURLs[[#This Row],[Game_URLs]],,1)</f>
        <v>#VALUE!</v>
      </c>
    </row>
    <row r="5" spans="1:21" x14ac:dyDescent="0.35">
      <c r="A5" s="32" t="s">
        <v>160</v>
      </c>
      <c r="B5" s="3">
        <v>160000000</v>
      </c>
      <c r="D5" s="32" t="s">
        <v>160</v>
      </c>
      <c r="E5" s="28">
        <v>47840000000</v>
      </c>
      <c r="H5" t="s">
        <v>306</v>
      </c>
      <c r="I5" t="s">
        <v>606</v>
      </c>
      <c r="J5" t="s">
        <v>283</v>
      </c>
      <c r="K5" t="s">
        <v>633</v>
      </c>
      <c r="L5" t="e" vm="4">
        <f>_xlfn.IMAGE(ConsoleURLs[[#This Row],[Game_URLs]],,1)</f>
        <v>#VALUE!</v>
      </c>
    </row>
    <row r="6" spans="1:21" x14ac:dyDescent="0.35">
      <c r="A6" s="32" t="s">
        <v>126</v>
      </c>
      <c r="B6" s="3">
        <v>154020000</v>
      </c>
      <c r="D6" s="32" t="s">
        <v>178</v>
      </c>
      <c r="E6" s="28">
        <v>43612600000</v>
      </c>
      <c r="H6" t="s">
        <v>51</v>
      </c>
      <c r="I6" t="s">
        <v>607</v>
      </c>
      <c r="J6" t="s">
        <v>53</v>
      </c>
      <c r="K6" t="s">
        <v>634</v>
      </c>
      <c r="L6" t="e" vm="5">
        <f>_xlfn.IMAGE(ConsoleURLs[[#This Row],[Game_URLs]],,1)</f>
        <v>#VALUE!</v>
      </c>
    </row>
    <row r="7" spans="1:21" x14ac:dyDescent="0.35">
      <c r="A7" s="32" t="s">
        <v>97</v>
      </c>
      <c r="B7" s="3">
        <v>118690000</v>
      </c>
      <c r="D7" s="32" t="s">
        <v>441</v>
      </c>
      <c r="E7" s="28">
        <v>30644510000</v>
      </c>
      <c r="H7" t="s">
        <v>433</v>
      </c>
      <c r="I7" t="s">
        <v>608</v>
      </c>
      <c r="J7" t="s">
        <v>283</v>
      </c>
      <c r="K7" t="s">
        <v>633</v>
      </c>
      <c r="L7" t="e" vm="4">
        <f>_xlfn.IMAGE(ConsoleURLs[[#This Row],[Game_URLs]],,1)</f>
        <v>#VALUE!</v>
      </c>
    </row>
    <row r="8" spans="1:21" x14ac:dyDescent="0.35">
      <c r="A8" s="32" t="s">
        <v>441</v>
      </c>
      <c r="B8" s="3">
        <v>102490000</v>
      </c>
      <c r="D8" s="32" t="s">
        <v>66</v>
      </c>
      <c r="E8" s="28">
        <v>25305870000</v>
      </c>
      <c r="H8" t="s">
        <v>11</v>
      </c>
      <c r="I8" t="s">
        <v>609</v>
      </c>
      <c r="J8" t="s">
        <v>14</v>
      </c>
      <c r="K8" t="s">
        <v>635</v>
      </c>
      <c r="L8" t="e" vm="6">
        <f>_xlfn.IMAGE(ConsoleURLs[[#This Row],[Game_URLs]],,1)</f>
        <v>#VALUE!</v>
      </c>
    </row>
    <row r="9" spans="1:21" x14ac:dyDescent="0.35">
      <c r="A9" s="32" t="s">
        <v>66</v>
      </c>
      <c r="B9" s="3">
        <v>101630000</v>
      </c>
      <c r="D9" s="32" t="s">
        <v>126</v>
      </c>
      <c r="E9" s="28">
        <v>22948980000</v>
      </c>
      <c r="H9" t="s">
        <v>136</v>
      </c>
      <c r="I9" t="s">
        <v>610</v>
      </c>
      <c r="J9" t="s">
        <v>138</v>
      </c>
      <c r="K9" t="s">
        <v>636</v>
      </c>
      <c r="L9" t="e" vm="7">
        <f>_xlfn.IMAGE(ConsoleURLs[[#This Row],[Game_URLs]],,1)</f>
        <v>#VALUE!</v>
      </c>
    </row>
    <row r="10" spans="1:21" x14ac:dyDescent="0.35">
      <c r="A10" s="32" t="s">
        <v>178</v>
      </c>
      <c r="B10" s="3">
        <v>87400000</v>
      </c>
      <c r="D10" s="32" t="s">
        <v>214</v>
      </c>
      <c r="E10" s="28">
        <v>20547480000</v>
      </c>
      <c r="H10" t="s">
        <v>41</v>
      </c>
      <c r="I10" t="s">
        <v>611</v>
      </c>
      <c r="J10" t="s">
        <v>43</v>
      </c>
      <c r="K10" t="s">
        <v>637</v>
      </c>
      <c r="L10" t="e" vm="8">
        <f>_xlfn.IMAGE(ConsoleURLs[[#This Row],[Game_URLs]],,1)</f>
        <v>#VALUE!</v>
      </c>
    </row>
    <row r="11" spans="1:21" x14ac:dyDescent="0.35">
      <c r="A11" s="32" t="s">
        <v>214</v>
      </c>
      <c r="B11" s="3">
        <v>82520000</v>
      </c>
      <c r="D11" s="32" t="s">
        <v>11</v>
      </c>
      <c r="E11" s="28">
        <v>12320090000</v>
      </c>
      <c r="H11" t="s">
        <v>126</v>
      </c>
      <c r="I11" t="s">
        <v>612</v>
      </c>
      <c r="J11" t="s">
        <v>128</v>
      </c>
      <c r="K11" t="s">
        <v>638</v>
      </c>
      <c r="L11" t="e" vm="9">
        <f>_xlfn.IMAGE(ConsoleURLs[[#This Row],[Game_URLs]],,1)</f>
        <v>#VALUE!</v>
      </c>
    </row>
    <row r="12" spans="1:21" ht="58.5" customHeight="1" x14ac:dyDescent="0.35">
      <c r="A12" s="32" t="s">
        <v>111</v>
      </c>
      <c r="B12" s="3">
        <v>81510000</v>
      </c>
      <c r="D12" s="32" t="s">
        <v>97</v>
      </c>
      <c r="E12" s="28">
        <v>10563410000</v>
      </c>
      <c r="H12" t="s">
        <v>344</v>
      </c>
      <c r="I12" t="s">
        <v>613</v>
      </c>
      <c r="J12" t="s">
        <v>474</v>
      </c>
      <c r="K12" t="s">
        <v>639</v>
      </c>
      <c r="L12" t="e" vm="10">
        <f>_xlfn.IMAGE(ConsoleURLs[[#This Row],[Game_URLs]],,1)</f>
        <v>#VALUE!</v>
      </c>
      <c r="Q12" s="33" t="e" vm="11">
        <f>_xlfn.IMAGE(_xlfn.XLOOKUP(A5,ConsoleURLs[Console_Name],ConsoleURLs[Console_URL]),,1)</f>
        <v>#VALUE!</v>
      </c>
      <c r="S12" t="e" vm="11">
        <f>_xlfn.IMAGE(_xlfn.XLOOKUP(D5,ConsoleURLs[Console_Name],ConsoleURLs[Console_URL]),,1)</f>
        <v>#VALUE!</v>
      </c>
      <c r="U12" t="e" vm="12">
        <f>_xlfn.IMAGE(_xlfn.XLOOKUP(A38,ConsoleURLs[Game_Names],ConsoleURLs[Game_URLs]),,1)</f>
        <v>#VALUE!</v>
      </c>
    </row>
    <row r="13" spans="1:21" x14ac:dyDescent="0.35">
      <c r="A13" s="32" t="s">
        <v>11</v>
      </c>
      <c r="B13" s="3">
        <v>61910000</v>
      </c>
      <c r="D13" s="32" t="s">
        <v>34</v>
      </c>
      <c r="E13" s="28">
        <v>9770900000</v>
      </c>
      <c r="H13" t="s">
        <v>441</v>
      </c>
      <c r="I13" t="s">
        <v>614</v>
      </c>
      <c r="J13" t="s">
        <v>146</v>
      </c>
      <c r="K13" t="s">
        <v>640</v>
      </c>
      <c r="L13" t="e" vm="13">
        <f>_xlfn.IMAGE(ConsoleURLs[[#This Row],[Game_URLs]],,1)</f>
        <v>#VALUE!</v>
      </c>
    </row>
    <row r="14" spans="1:21" x14ac:dyDescent="0.35">
      <c r="A14" s="32" t="s">
        <v>34</v>
      </c>
      <c r="B14" s="3">
        <v>49100000</v>
      </c>
      <c r="C14" t="s">
        <v>599</v>
      </c>
      <c r="D14" s="32" t="s">
        <v>111</v>
      </c>
      <c r="E14" s="28">
        <v>8069490000</v>
      </c>
      <c r="H14" t="s">
        <v>160</v>
      </c>
      <c r="I14" t="s">
        <v>615</v>
      </c>
      <c r="J14" t="s">
        <v>161</v>
      </c>
      <c r="K14" t="s">
        <v>641</v>
      </c>
      <c r="L14" t="e" vm="14">
        <f>_xlfn.IMAGE(ConsoleURLs[[#This Row],[Game_URLs]],,1)</f>
        <v>#VALUE!</v>
      </c>
    </row>
    <row r="15" spans="1:21" x14ac:dyDescent="0.35">
      <c r="A15" s="32" t="s">
        <v>41</v>
      </c>
      <c r="B15" s="3">
        <v>32930000</v>
      </c>
      <c r="D15" s="32" t="s">
        <v>231</v>
      </c>
      <c r="E15" s="28">
        <v>7176000000</v>
      </c>
      <c r="H15" t="s">
        <v>178</v>
      </c>
      <c r="I15" t="s">
        <v>616</v>
      </c>
      <c r="J15" t="s">
        <v>179</v>
      </c>
      <c r="K15" t="s">
        <v>642</v>
      </c>
      <c r="L15" t="e" vm="15">
        <f>_xlfn.IMAGE(ConsoleURLs[[#This Row],[Game_URLs]],,1)</f>
        <v>#VALUE!</v>
      </c>
    </row>
    <row r="16" spans="1:21" x14ac:dyDescent="0.35">
      <c r="A16" s="32" t="s">
        <v>433</v>
      </c>
      <c r="B16" s="3">
        <v>30750000</v>
      </c>
      <c r="D16" s="32" t="s">
        <v>41</v>
      </c>
      <c r="E16" s="28">
        <v>6553070000</v>
      </c>
      <c r="H16" t="s">
        <v>188</v>
      </c>
      <c r="I16" t="s">
        <v>617</v>
      </c>
      <c r="J16" t="s">
        <v>189</v>
      </c>
      <c r="K16" t="s">
        <v>643</v>
      </c>
      <c r="L16" t="e" vm="16">
        <f>_xlfn.IMAGE(ConsoleURLs[[#This Row],[Game_URLs]],,1)</f>
        <v>#VALUE!</v>
      </c>
    </row>
    <row r="17" spans="1:12" x14ac:dyDescent="0.35">
      <c r="A17" s="32" t="s">
        <v>231</v>
      </c>
      <c r="B17" s="3">
        <v>24000000</v>
      </c>
      <c r="D17" s="32" t="s">
        <v>433</v>
      </c>
      <c r="E17" s="28">
        <v>5811750000</v>
      </c>
      <c r="H17" t="s">
        <v>201</v>
      </c>
      <c r="I17" t="s">
        <v>618</v>
      </c>
      <c r="J17" t="s">
        <v>203</v>
      </c>
      <c r="K17" t="s">
        <v>644</v>
      </c>
      <c r="L17" t="e" vm="17">
        <f>_xlfn.IMAGE(ConsoleURLs[[#This Row],[Game_URLs]],,1)</f>
        <v>#VALUE!</v>
      </c>
    </row>
    <row r="18" spans="1:12" x14ac:dyDescent="0.35">
      <c r="A18" s="32" t="s">
        <v>51</v>
      </c>
      <c r="B18" s="3">
        <v>21740000</v>
      </c>
      <c r="D18" s="32" t="s">
        <v>51</v>
      </c>
      <c r="E18" s="28">
        <v>4326260000</v>
      </c>
      <c r="H18" t="s">
        <v>214</v>
      </c>
      <c r="I18" t="s">
        <v>619</v>
      </c>
      <c r="J18" t="s">
        <v>211</v>
      </c>
      <c r="K18" t="s">
        <v>645</v>
      </c>
      <c r="L18" t="e" vm="18">
        <f>_xlfn.IMAGE(ConsoleURLs[[#This Row],[Game_URLs]],,1)</f>
        <v>#VALUE!</v>
      </c>
    </row>
    <row r="19" spans="1:12" x14ac:dyDescent="0.35">
      <c r="A19" s="32" t="s">
        <v>73</v>
      </c>
      <c r="B19" s="3">
        <v>13560000</v>
      </c>
      <c r="D19" s="32" t="s">
        <v>73</v>
      </c>
      <c r="E19" s="28">
        <v>4054440000</v>
      </c>
      <c r="H19" t="s">
        <v>451</v>
      </c>
      <c r="I19" t="s">
        <v>620</v>
      </c>
      <c r="J19" t="s">
        <v>221</v>
      </c>
      <c r="K19" s="34" t="s">
        <v>646</v>
      </c>
      <c r="L19" t="e" vm="19">
        <f>_xlfn.IMAGE(ConsoleURLs[[#This Row],[Game_URLs]],,1)</f>
        <v>#VALUE!</v>
      </c>
    </row>
    <row r="20" spans="1:12" x14ac:dyDescent="0.35">
      <c r="A20" s="32" t="s">
        <v>293</v>
      </c>
      <c r="B20" s="3">
        <v>9260000</v>
      </c>
      <c r="D20" s="32" t="s">
        <v>293</v>
      </c>
      <c r="E20" s="28">
        <v>3694740000</v>
      </c>
      <c r="H20" t="s">
        <v>293</v>
      </c>
      <c r="I20" t="s">
        <v>621</v>
      </c>
      <c r="J20" t="s">
        <v>294</v>
      </c>
      <c r="K20" t="s">
        <v>647</v>
      </c>
      <c r="L20" t="e" vm="20">
        <f>_xlfn.IMAGE(ConsoleURLs[[#This Row],[Game_URLs]],,1)</f>
        <v>#VALUE!</v>
      </c>
    </row>
    <row r="21" spans="1:12" x14ac:dyDescent="0.35">
      <c r="A21" s="32" t="s">
        <v>299</v>
      </c>
      <c r="B21" s="3">
        <v>9130000</v>
      </c>
      <c r="D21" s="32" t="s">
        <v>299</v>
      </c>
      <c r="E21" s="28">
        <v>1816870000</v>
      </c>
      <c r="H21" t="s">
        <v>34</v>
      </c>
      <c r="I21" t="s">
        <v>622</v>
      </c>
      <c r="J21" t="s">
        <v>29</v>
      </c>
      <c r="K21" t="s">
        <v>648</v>
      </c>
      <c r="L21" t="e" vm="21">
        <f>_xlfn.IMAGE(ConsoleURLs[[#This Row],[Game_URLs]],,1)</f>
        <v>#VALUE!</v>
      </c>
    </row>
    <row r="22" spans="1:12" x14ac:dyDescent="0.35">
      <c r="A22" s="32" t="s">
        <v>598</v>
      </c>
      <c r="B22" s="3">
        <v>1140640000</v>
      </c>
      <c r="D22" s="32" t="s">
        <v>598</v>
      </c>
      <c r="E22" s="28">
        <v>265056460000</v>
      </c>
      <c r="H22" t="s">
        <v>85</v>
      </c>
      <c r="I22" t="s">
        <v>623</v>
      </c>
      <c r="J22" t="s">
        <v>86</v>
      </c>
      <c r="K22" s="34" t="s">
        <v>649</v>
      </c>
      <c r="L22" t="e" vm="22">
        <f>_xlfn.IMAGE(ConsoleURLs[[#This Row],[Game_URLs]],,1)</f>
        <v>#VALUE!</v>
      </c>
    </row>
    <row r="23" spans="1:12" x14ac:dyDescent="0.35">
      <c r="H23" t="s">
        <v>66</v>
      </c>
      <c r="I23" t="s">
        <v>624</v>
      </c>
      <c r="J23" t="s">
        <v>68</v>
      </c>
      <c r="K23" t="s">
        <v>650</v>
      </c>
      <c r="L23" t="e" vm="12">
        <f>_xlfn.IMAGE(ConsoleURLs[[#This Row],[Game_URLs]],,1)</f>
        <v>#VALUE!</v>
      </c>
    </row>
    <row r="24" spans="1:12" x14ac:dyDescent="0.35">
      <c r="H24" t="s">
        <v>73</v>
      </c>
      <c r="I24" t="s">
        <v>625</v>
      </c>
      <c r="J24" t="s">
        <v>75</v>
      </c>
      <c r="K24" t="s">
        <v>651</v>
      </c>
      <c r="L24" t="e" vm="23">
        <f>_xlfn.IMAGE(ConsoleURLs[[#This Row],[Game_URLs]],,1)</f>
        <v>#VALUE!</v>
      </c>
    </row>
    <row r="25" spans="1:12" x14ac:dyDescent="0.35">
      <c r="H25" t="s">
        <v>231</v>
      </c>
      <c r="I25" t="s">
        <v>627</v>
      </c>
      <c r="J25" t="s">
        <v>233</v>
      </c>
      <c r="K25" t="s">
        <v>652</v>
      </c>
      <c r="L25" t="e" vm="24">
        <f>_xlfn.IMAGE(ConsoleURLs[[#This Row],[Game_URLs]],,1)</f>
        <v>#VALUE!</v>
      </c>
    </row>
    <row r="26" spans="1:12" x14ac:dyDescent="0.35">
      <c r="H26" t="s">
        <v>244</v>
      </c>
      <c r="I26" t="s">
        <v>628</v>
      </c>
      <c r="J26" t="s">
        <v>245</v>
      </c>
      <c r="K26" t="s">
        <v>653</v>
      </c>
      <c r="L26" t="e" vm="25">
        <f>_xlfn.IMAGE(ConsoleURLs[[#This Row],[Game_URLs]],,1)</f>
        <v>#VALUE!</v>
      </c>
    </row>
    <row r="27" spans="1:12" x14ac:dyDescent="0.35">
      <c r="H27" t="s">
        <v>257</v>
      </c>
      <c r="I27" t="s">
        <v>626</v>
      </c>
      <c r="J27" t="s">
        <v>258</v>
      </c>
      <c r="K27" t="s">
        <v>654</v>
      </c>
      <c r="L27" t="e" vm="26">
        <f>_xlfn.IMAGE(ConsoleURLs[[#This Row],[Game_URLs]],,1)</f>
        <v>#VALUE!</v>
      </c>
    </row>
    <row r="28" spans="1:12" x14ac:dyDescent="0.35">
      <c r="H28" t="s">
        <v>470</v>
      </c>
      <c r="I28" t="s">
        <v>629</v>
      </c>
      <c r="J28" t="s">
        <v>271</v>
      </c>
      <c r="K28" t="s">
        <v>655</v>
      </c>
      <c r="L28" t="e" vm="27">
        <f>_xlfn.IMAGE(ConsoleURLs[[#This Row],[Game_URLs]],,1)</f>
        <v>#VALUE!</v>
      </c>
    </row>
    <row r="37" spans="1:10" x14ac:dyDescent="0.35">
      <c r="A37" s="31" t="s">
        <v>597</v>
      </c>
      <c r="B37" t="s">
        <v>656</v>
      </c>
      <c r="D37" s="31" t="s">
        <v>597</v>
      </c>
      <c r="E37" t="s">
        <v>595</v>
      </c>
      <c r="I37" s="31" t="s">
        <v>597</v>
      </c>
      <c r="J37" t="s">
        <v>594</v>
      </c>
    </row>
    <row r="38" spans="1:10" x14ac:dyDescent="0.35">
      <c r="A38" s="32" t="s">
        <v>68</v>
      </c>
      <c r="B38" s="3">
        <v>82900000</v>
      </c>
      <c r="D38" s="32" t="s">
        <v>111</v>
      </c>
      <c r="E38" s="28">
        <v>8069490000</v>
      </c>
      <c r="I38" s="32" t="s">
        <v>12</v>
      </c>
      <c r="J38" s="3">
        <v>635090000</v>
      </c>
    </row>
    <row r="39" spans="1:10" x14ac:dyDescent="0.35">
      <c r="A39" s="32" t="s">
        <v>14</v>
      </c>
      <c r="B39" s="3">
        <v>40240000</v>
      </c>
      <c r="D39" s="32" t="s">
        <v>34</v>
      </c>
      <c r="E39" s="28">
        <v>9770900000</v>
      </c>
      <c r="I39" s="32" t="s">
        <v>145</v>
      </c>
      <c r="J39" s="3">
        <v>432410000</v>
      </c>
    </row>
    <row r="40" spans="1:10" x14ac:dyDescent="0.35">
      <c r="A40" s="32" t="s">
        <v>99</v>
      </c>
      <c r="B40" s="3">
        <v>35000000</v>
      </c>
      <c r="D40" s="32" t="s">
        <v>97</v>
      </c>
      <c r="E40" s="28">
        <v>10563410000</v>
      </c>
      <c r="I40" s="32" t="s">
        <v>282</v>
      </c>
      <c r="J40" s="3">
        <v>49140000</v>
      </c>
    </row>
    <row r="41" spans="1:10" x14ac:dyDescent="0.35">
      <c r="A41" s="32" t="s">
        <v>128</v>
      </c>
      <c r="B41" s="3">
        <v>23900000</v>
      </c>
      <c r="D41" s="32" t="s">
        <v>11</v>
      </c>
      <c r="E41" s="28">
        <v>12320090000</v>
      </c>
      <c r="I41" s="32" t="s">
        <v>232</v>
      </c>
      <c r="J41" s="3">
        <v>24000000</v>
      </c>
    </row>
    <row r="42" spans="1:10" x14ac:dyDescent="0.35">
      <c r="A42" s="32" t="s">
        <v>29</v>
      </c>
      <c r="B42" s="3">
        <v>20600000</v>
      </c>
      <c r="D42" s="32" t="s">
        <v>214</v>
      </c>
      <c r="E42" s="28">
        <v>20547480000</v>
      </c>
      <c r="I42" s="32" t="s">
        <v>598</v>
      </c>
      <c r="J42" s="3">
        <v>1140640000</v>
      </c>
    </row>
    <row r="43" spans="1:10" x14ac:dyDescent="0.35">
      <c r="A43" s="32" t="s">
        <v>179</v>
      </c>
      <c r="B43" s="3">
        <v>20000000</v>
      </c>
      <c r="D43" s="32" t="s">
        <v>126</v>
      </c>
      <c r="E43" s="28">
        <v>22948980000</v>
      </c>
    </row>
    <row r="44" spans="1:10" x14ac:dyDescent="0.35">
      <c r="A44" s="32" t="s">
        <v>161</v>
      </c>
      <c r="B44" s="3">
        <v>17300000</v>
      </c>
      <c r="D44" s="32" t="s">
        <v>66</v>
      </c>
      <c r="E44" s="28">
        <v>25305870000</v>
      </c>
    </row>
    <row r="45" spans="1:10" x14ac:dyDescent="0.35">
      <c r="A45" s="32" t="s">
        <v>121</v>
      </c>
      <c r="B45" s="3">
        <v>16200000</v>
      </c>
      <c r="D45" s="32" t="s">
        <v>441</v>
      </c>
      <c r="E45" s="28">
        <v>30644510000</v>
      </c>
      <c r="I45" s="31" t="s">
        <v>597</v>
      </c>
      <c r="J45" t="s">
        <v>595</v>
      </c>
    </row>
    <row r="46" spans="1:10" x14ac:dyDescent="0.35">
      <c r="A46" s="32" t="s">
        <v>283</v>
      </c>
      <c r="B46" s="3">
        <v>15000000</v>
      </c>
      <c r="D46" s="32" t="s">
        <v>178</v>
      </c>
      <c r="E46" s="28">
        <v>43612600000</v>
      </c>
      <c r="I46" s="32" t="s">
        <v>145</v>
      </c>
      <c r="J46" s="28">
        <v>142644590000</v>
      </c>
    </row>
    <row r="47" spans="1:10" x14ac:dyDescent="0.35">
      <c r="A47" s="32" t="s">
        <v>43</v>
      </c>
      <c r="B47" s="3">
        <v>11910000</v>
      </c>
      <c r="D47" s="32" t="s">
        <v>160</v>
      </c>
      <c r="E47" s="28">
        <v>47840000000</v>
      </c>
      <c r="I47" s="32" t="s">
        <v>12</v>
      </c>
      <c r="J47" s="28">
        <v>103912510000</v>
      </c>
    </row>
    <row r="48" spans="1:10" x14ac:dyDescent="0.35">
      <c r="A48" s="32" t="s">
        <v>146</v>
      </c>
      <c r="B48" s="3">
        <v>10850000</v>
      </c>
      <c r="D48" s="32" t="s">
        <v>598</v>
      </c>
      <c r="E48" s="28">
        <v>231623330000</v>
      </c>
      <c r="I48" s="32" t="s">
        <v>282</v>
      </c>
      <c r="J48" s="28">
        <v>11323360000</v>
      </c>
    </row>
    <row r="49" spans="1:11" x14ac:dyDescent="0.35">
      <c r="A49" s="32" t="s">
        <v>75</v>
      </c>
      <c r="B49" s="3">
        <v>8460000</v>
      </c>
      <c r="I49" s="32" t="s">
        <v>232</v>
      </c>
      <c r="J49" s="28">
        <v>7176000000</v>
      </c>
    </row>
    <row r="50" spans="1:11" x14ac:dyDescent="0.35">
      <c r="A50" s="32" t="s">
        <v>211</v>
      </c>
      <c r="B50" s="3">
        <v>8000000</v>
      </c>
      <c r="I50" s="32" t="s">
        <v>598</v>
      </c>
      <c r="J50" s="28">
        <v>265056460000</v>
      </c>
    </row>
    <row r="51" spans="1:11" x14ac:dyDescent="0.35">
      <c r="A51" s="32" t="s">
        <v>53</v>
      </c>
      <c r="B51" s="3">
        <v>7400000</v>
      </c>
    </row>
    <row r="52" spans="1:11" x14ac:dyDescent="0.35">
      <c r="A52" s="32" t="s">
        <v>233</v>
      </c>
      <c r="B52" s="3">
        <v>5000000</v>
      </c>
      <c r="D52" s="31" t="s">
        <v>597</v>
      </c>
      <c r="E52" t="s">
        <v>594</v>
      </c>
    </row>
    <row r="53" spans="1:11" x14ac:dyDescent="0.35">
      <c r="A53" s="32" t="s">
        <v>300</v>
      </c>
      <c r="B53" s="3">
        <v>2500000</v>
      </c>
      <c r="D53" s="32" t="s">
        <v>34</v>
      </c>
      <c r="E53" s="3">
        <v>49100000</v>
      </c>
      <c r="I53" s="31" t="s">
        <v>597</v>
      </c>
      <c r="J53" t="s">
        <v>659</v>
      </c>
      <c r="K53" t="s">
        <v>660</v>
      </c>
    </row>
    <row r="54" spans="1:11" x14ac:dyDescent="0.35">
      <c r="A54" s="32" t="s">
        <v>294</v>
      </c>
      <c r="B54" s="3">
        <v>1700000</v>
      </c>
      <c r="D54" s="32" t="s">
        <v>11</v>
      </c>
      <c r="E54" s="3">
        <v>61910000</v>
      </c>
      <c r="I54" s="32" t="s">
        <v>13</v>
      </c>
      <c r="J54" s="28">
        <v>12320090000</v>
      </c>
      <c r="K54" s="3">
        <v>61910000</v>
      </c>
    </row>
    <row r="55" spans="1:11" x14ac:dyDescent="0.35">
      <c r="A55" s="32" t="s">
        <v>598</v>
      </c>
      <c r="B55" s="3">
        <v>326960000</v>
      </c>
      <c r="D55" s="32" t="s">
        <v>111</v>
      </c>
      <c r="E55" s="3">
        <v>81510000</v>
      </c>
      <c r="I55" s="32" t="s">
        <v>28</v>
      </c>
      <c r="J55" s="28">
        <v>26146060000</v>
      </c>
      <c r="K55" s="3">
        <v>198540000</v>
      </c>
    </row>
    <row r="56" spans="1:11" x14ac:dyDescent="0.35">
      <c r="D56" s="32" t="s">
        <v>214</v>
      </c>
      <c r="E56" s="3">
        <v>82520000</v>
      </c>
      <c r="I56" s="32" t="s">
        <v>42</v>
      </c>
      <c r="J56" s="28">
        <v>40892320000</v>
      </c>
      <c r="K56" s="3">
        <v>144680000</v>
      </c>
    </row>
    <row r="57" spans="1:11" x14ac:dyDescent="0.35">
      <c r="D57" s="32" t="s">
        <v>178</v>
      </c>
      <c r="E57" s="3">
        <v>87400000</v>
      </c>
      <c r="I57" s="32" t="s">
        <v>52</v>
      </c>
      <c r="J57" s="28">
        <v>69228620000</v>
      </c>
      <c r="K57" s="3">
        <v>296380000</v>
      </c>
    </row>
    <row r="58" spans="1:11" x14ac:dyDescent="0.35">
      <c r="D58" s="32" t="s">
        <v>66</v>
      </c>
      <c r="E58" s="3">
        <v>101630000</v>
      </c>
      <c r="I58" s="32" t="s">
        <v>67</v>
      </c>
      <c r="J58" s="28">
        <v>112414930000</v>
      </c>
      <c r="K58" s="3">
        <v>425570000</v>
      </c>
    </row>
    <row r="59" spans="1:11" x14ac:dyDescent="0.35">
      <c r="D59" s="32" t="s">
        <v>441</v>
      </c>
      <c r="E59" s="3">
        <v>102490000</v>
      </c>
      <c r="I59" s="32" t="s">
        <v>74</v>
      </c>
      <c r="J59" s="28">
        <v>4054440000</v>
      </c>
      <c r="K59" s="3">
        <v>13560000</v>
      </c>
    </row>
    <row r="60" spans="1:11" x14ac:dyDescent="0.35">
      <c r="D60" s="32" t="s">
        <v>97</v>
      </c>
      <c r="E60" s="3">
        <v>118690000</v>
      </c>
      <c r="I60" s="32" t="s">
        <v>598</v>
      </c>
      <c r="J60" s="28">
        <v>265056460000</v>
      </c>
      <c r="K60" s="3">
        <v>1140640000</v>
      </c>
    </row>
    <row r="61" spans="1:11" x14ac:dyDescent="0.35">
      <c r="D61" s="32" t="s">
        <v>126</v>
      </c>
      <c r="E61" s="3">
        <v>154020000</v>
      </c>
    </row>
    <row r="62" spans="1:11" x14ac:dyDescent="0.35">
      <c r="D62" s="32" t="s">
        <v>160</v>
      </c>
      <c r="E62" s="3">
        <v>160000000</v>
      </c>
    </row>
    <row r="63" spans="1:11" x14ac:dyDescent="0.35">
      <c r="D63" s="32" t="s">
        <v>598</v>
      </c>
      <c r="E63" s="3">
        <v>999270000</v>
      </c>
    </row>
    <row r="68" spans="1:2" x14ac:dyDescent="0.35">
      <c r="A68" s="31" t="s">
        <v>597</v>
      </c>
      <c r="B68" t="s">
        <v>661</v>
      </c>
    </row>
    <row r="69" spans="1:2" x14ac:dyDescent="0.35">
      <c r="A69" s="32" t="s">
        <v>178</v>
      </c>
      <c r="B69" s="22">
        <v>0.2288329519450801</v>
      </c>
    </row>
    <row r="70" spans="1:2" x14ac:dyDescent="0.35">
      <c r="A70" s="32" t="s">
        <v>299</v>
      </c>
      <c r="B70" s="22">
        <v>0.2738225629791895</v>
      </c>
    </row>
    <row r="71" spans="1:2" x14ac:dyDescent="0.35">
      <c r="A71" s="32" t="s">
        <v>97</v>
      </c>
      <c r="B71" s="22">
        <v>0.29488583705451177</v>
      </c>
    </row>
    <row r="72" spans="1:2" x14ac:dyDescent="0.35">
      <c r="A72" s="32" t="s">
        <v>51</v>
      </c>
      <c r="B72" s="22">
        <v>0.34038638454461823</v>
      </c>
    </row>
    <row r="73" spans="1:2" x14ac:dyDescent="0.35">
      <c r="A73" s="32" t="s">
        <v>41</v>
      </c>
      <c r="B73" s="22">
        <v>0.36167628302459764</v>
      </c>
    </row>
    <row r="74" spans="1:2" x14ac:dyDescent="0.35">
      <c r="A74" s="32" t="s">
        <v>34</v>
      </c>
      <c r="B74" s="22">
        <v>0.41955193482688391</v>
      </c>
    </row>
    <row r="75" spans="1:2" x14ac:dyDescent="0.35">
      <c r="A75" s="32" t="s">
        <v>433</v>
      </c>
      <c r="B75" s="22">
        <v>0.48780487804878048</v>
      </c>
    </row>
    <row r="76" spans="1:2" x14ac:dyDescent="0.35">
      <c r="A76" s="32" t="s">
        <v>73</v>
      </c>
      <c r="B76" s="22">
        <v>0.62389380530973448</v>
      </c>
    </row>
    <row r="77" spans="1:2" x14ac:dyDescent="0.35">
      <c r="A77" s="32" t="s">
        <v>11</v>
      </c>
      <c r="B77" s="22">
        <v>0.64997577128089157</v>
      </c>
    </row>
    <row r="78" spans="1:2" x14ac:dyDescent="0.35">
      <c r="A78" s="32" t="s">
        <v>66</v>
      </c>
      <c r="B78" s="22">
        <v>0.81570402440224343</v>
      </c>
    </row>
    <row r="79" spans="1:2" x14ac:dyDescent="0.35">
      <c r="A79" s="32" t="s">
        <v>598</v>
      </c>
      <c r="B79" s="22">
        <v>4.4965344334165316</v>
      </c>
    </row>
  </sheetData>
  <hyperlinks>
    <hyperlink ref="K22" r:id="rId13" xr:uid="{E07D9365-8B93-4E4E-A5DA-1A990064032F}"/>
  </hyperlinks>
  <pageMargins left="0.7" right="0.7" top="0.75" bottom="0.75" header="0.3" footer="0.3"/>
  <tableParts count="1">
    <tablePart r:id="rId14"/>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rgb="FF00B0F0"/>
  </sheetPr>
  <dimension ref="A1:A107"/>
  <sheetViews>
    <sheetView showGridLines="0" tabSelected="1" topLeftCell="A10" zoomScale="92" zoomScaleNormal="148" workbookViewId="0">
      <selection activeCell="R93" sqref="R93"/>
    </sheetView>
  </sheetViews>
  <sheetFormatPr defaultColWidth="0" defaultRowHeight="14.5" zeroHeight="1" x14ac:dyDescent="0.35"/>
  <cols>
    <col min="1" max="19" width="8.7265625" style="27" customWidth="1"/>
    <col min="20" max="16384" width="8.7265625" style="27" hidden="1"/>
  </cols>
  <sheetData>
    <row r="1" x14ac:dyDescent="0.35"/>
    <row r="2" x14ac:dyDescent="0.35"/>
    <row r="3" x14ac:dyDescent="0.35"/>
    <row r="4" x14ac:dyDescent="0.35"/>
    <row r="5" x14ac:dyDescent="0.35"/>
    <row r="6" x14ac:dyDescent="0.35"/>
    <row r="7" x14ac:dyDescent="0.35"/>
    <row r="8" x14ac:dyDescent="0.35"/>
    <row r="9" x14ac:dyDescent="0.35"/>
    <row r="10" x14ac:dyDescent="0.35"/>
    <row r="11" x14ac:dyDescent="0.35"/>
    <row r="12" x14ac:dyDescent="0.35"/>
    <row r="13" x14ac:dyDescent="0.35"/>
    <row r="14" x14ac:dyDescent="0.35"/>
    <row r="15" x14ac:dyDescent="0.35"/>
    <row r="16" x14ac:dyDescent="0.35"/>
    <row r="17" x14ac:dyDescent="0.35"/>
    <row r="18" x14ac:dyDescent="0.35"/>
    <row r="19" x14ac:dyDescent="0.35"/>
    <row r="20" x14ac:dyDescent="0.35"/>
    <row r="21" x14ac:dyDescent="0.35"/>
    <row r="22" x14ac:dyDescent="0.35"/>
    <row r="23" x14ac:dyDescent="0.35"/>
    <row r="24" x14ac:dyDescent="0.35"/>
    <row r="25" x14ac:dyDescent="0.35"/>
    <row r="26" x14ac:dyDescent="0.35"/>
    <row r="27" x14ac:dyDescent="0.35"/>
    <row r="28" x14ac:dyDescent="0.35"/>
    <row r="29" x14ac:dyDescent="0.35"/>
    <row r="30" x14ac:dyDescent="0.35"/>
    <row r="31" x14ac:dyDescent="0.35"/>
    <row r="32" x14ac:dyDescent="0.35"/>
    <row r="33" x14ac:dyDescent="0.35"/>
    <row r="34" x14ac:dyDescent="0.35"/>
    <row r="35" x14ac:dyDescent="0.35"/>
    <row r="36" x14ac:dyDescent="0.35"/>
    <row r="37" x14ac:dyDescent="0.35"/>
    <row r="38" x14ac:dyDescent="0.35"/>
    <row r="39" x14ac:dyDescent="0.35"/>
    <row r="40" x14ac:dyDescent="0.35"/>
    <row r="41" x14ac:dyDescent="0.35"/>
    <row r="42" x14ac:dyDescent="0.35"/>
    <row r="43" x14ac:dyDescent="0.35"/>
    <row r="44" s="27" customFormat="1" x14ac:dyDescent="0.35"/>
    <row r="45" s="27" customFormat="1" x14ac:dyDescent="0.35"/>
    <row r="46" s="27" customFormat="1" x14ac:dyDescent="0.35"/>
    <row r="47" s="27" customFormat="1" x14ac:dyDescent="0.35"/>
    <row r="48" s="27" customFormat="1" x14ac:dyDescent="0.35"/>
    <row r="49" s="27" customFormat="1" x14ac:dyDescent="0.35"/>
    <row r="50" s="27" customFormat="1" x14ac:dyDescent="0.35"/>
    <row r="51" s="27" customFormat="1" x14ac:dyDescent="0.35"/>
    <row r="52" s="27" customFormat="1" x14ac:dyDescent="0.35"/>
    <row r="53" s="27" customFormat="1" x14ac:dyDescent="0.35"/>
    <row r="54" s="27" customFormat="1" x14ac:dyDescent="0.35"/>
    <row r="55" s="27" customFormat="1" x14ac:dyDescent="0.35"/>
    <row r="56" s="27" customFormat="1" x14ac:dyDescent="0.35"/>
    <row r="57" s="27" customFormat="1" x14ac:dyDescent="0.35"/>
    <row r="58" s="27" customFormat="1" x14ac:dyDescent="0.35"/>
    <row r="59" s="27" customFormat="1" x14ac:dyDescent="0.35"/>
    <row r="60" s="27" customFormat="1" x14ac:dyDescent="0.35"/>
    <row r="61" s="27" customFormat="1" x14ac:dyDescent="0.35"/>
    <row r="62" s="27" customFormat="1" x14ac:dyDescent="0.35"/>
    <row r="63" s="27" customFormat="1" x14ac:dyDescent="0.35"/>
    <row r="64" s="27" customFormat="1" x14ac:dyDescent="0.35"/>
    <row r="65" s="27" customFormat="1" x14ac:dyDescent="0.35"/>
    <row r="66" s="27" customFormat="1" x14ac:dyDescent="0.35"/>
    <row r="67" s="27" customFormat="1" x14ac:dyDescent="0.35"/>
    <row r="68" s="27" customFormat="1" x14ac:dyDescent="0.35"/>
    <row r="69" s="27" customFormat="1" x14ac:dyDescent="0.35"/>
    <row r="70" s="27" customFormat="1" x14ac:dyDescent="0.35"/>
    <row r="71" s="27" customFormat="1" x14ac:dyDescent="0.35"/>
    <row r="72" s="27" customFormat="1" x14ac:dyDescent="0.35"/>
    <row r="73" s="27" customFormat="1" x14ac:dyDescent="0.35"/>
    <row r="74" s="27" customFormat="1" x14ac:dyDescent="0.35"/>
    <row r="75" s="27" customFormat="1" x14ac:dyDescent="0.35"/>
    <row r="76" s="27" customFormat="1" x14ac:dyDescent="0.35"/>
    <row r="77" s="27" customFormat="1" x14ac:dyDescent="0.35"/>
    <row r="78" s="27" customFormat="1" x14ac:dyDescent="0.35"/>
    <row r="79" s="27" customFormat="1" x14ac:dyDescent="0.35"/>
    <row r="80" s="27" customFormat="1" x14ac:dyDescent="0.35"/>
    <row r="81" s="27" customFormat="1" x14ac:dyDescent="0.35"/>
    <row r="82" s="27" customFormat="1" x14ac:dyDescent="0.35"/>
    <row r="83" s="27" customFormat="1" x14ac:dyDescent="0.35"/>
    <row r="84" s="27" customFormat="1" x14ac:dyDescent="0.35"/>
    <row r="85" s="27" customFormat="1" x14ac:dyDescent="0.35"/>
    <row r="86" s="27" customFormat="1" x14ac:dyDescent="0.35"/>
    <row r="87" s="27" customFormat="1" x14ac:dyDescent="0.35"/>
    <row r="88" s="27" customFormat="1" x14ac:dyDescent="0.35"/>
    <row r="89" s="27" customFormat="1" x14ac:dyDescent="0.35"/>
    <row r="90" s="27" customFormat="1" x14ac:dyDescent="0.35"/>
    <row r="91" s="27" customFormat="1" x14ac:dyDescent="0.35"/>
    <row r="92" s="27" customFormat="1" x14ac:dyDescent="0.35"/>
    <row r="93" s="27" customFormat="1" x14ac:dyDescent="0.35"/>
    <row r="94" s="27" customFormat="1" x14ac:dyDescent="0.35"/>
    <row r="95" s="27" customFormat="1" x14ac:dyDescent="0.35"/>
    <row r="96" s="27" customFormat="1" x14ac:dyDescent="0.35"/>
    <row r="97" s="27" customFormat="1" x14ac:dyDescent="0.35"/>
    <row r="98" s="27" customFormat="1" x14ac:dyDescent="0.35"/>
    <row r="99" s="27" customFormat="1" x14ac:dyDescent="0.35"/>
    <row r="100" s="27" customFormat="1" x14ac:dyDescent="0.35"/>
    <row r="101" s="27" customFormat="1" x14ac:dyDescent="0.35"/>
    <row r="102" s="27" customFormat="1" hidden="1" x14ac:dyDescent="0.35"/>
    <row r="103" s="27" customFormat="1" hidden="1" x14ac:dyDescent="0.35"/>
    <row r="104" s="27" customFormat="1" hidden="1" x14ac:dyDescent="0.35"/>
    <row r="105" s="27" customFormat="1" hidden="1" x14ac:dyDescent="0.35"/>
    <row r="106" s="27" customFormat="1" hidden="1" x14ac:dyDescent="0.35"/>
    <row r="107" s="27" customFormat="1" hidden="1" x14ac:dyDescent="0.35"/>
  </sheetData>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tabColor rgb="FF00B0F0"/>
  </sheetPr>
  <dimension ref="A1:E34"/>
  <sheetViews>
    <sheetView zoomScale="54" workbookViewId="0">
      <selection activeCell="C20" sqref="C20"/>
    </sheetView>
  </sheetViews>
  <sheetFormatPr defaultRowHeight="14.5" x14ac:dyDescent="0.35"/>
  <cols>
    <col min="1" max="1" width="17.26953125" bestFit="1" customWidth="1"/>
    <col min="2" max="2" width="49.26953125" bestFit="1" customWidth="1"/>
    <col min="3" max="3" width="122.1796875" bestFit="1" customWidth="1"/>
    <col min="4" max="4" width="197.1796875" bestFit="1" customWidth="1"/>
    <col min="5" max="5" width="248" bestFit="1" customWidth="1"/>
  </cols>
  <sheetData>
    <row r="1" spans="1:5" x14ac:dyDescent="0.35">
      <c r="A1" t="s">
        <v>477</v>
      </c>
      <c r="B1" t="s">
        <v>478</v>
      </c>
      <c r="C1" t="s">
        <v>479</v>
      </c>
      <c r="D1" t="s">
        <v>480</v>
      </c>
      <c r="E1" t="s">
        <v>481</v>
      </c>
    </row>
    <row r="2" spans="1:5" x14ac:dyDescent="0.35">
      <c r="A2" s="1">
        <v>46026</v>
      </c>
      <c r="B2">
        <v>1</v>
      </c>
      <c r="C2" t="s">
        <v>482</v>
      </c>
      <c r="D2" t="s">
        <v>483</v>
      </c>
    </row>
    <row r="3" spans="1:5" x14ac:dyDescent="0.35">
      <c r="A3" s="1">
        <v>46026</v>
      </c>
      <c r="B3">
        <v>68</v>
      </c>
      <c r="C3" t="s">
        <v>484</v>
      </c>
      <c r="D3" t="s">
        <v>485</v>
      </c>
      <c r="E3" t="s">
        <v>486</v>
      </c>
    </row>
    <row r="4" spans="1:5" x14ac:dyDescent="0.35">
      <c r="A4" s="1">
        <v>46026</v>
      </c>
      <c r="B4" t="s">
        <v>9</v>
      </c>
      <c r="C4" t="s">
        <v>487</v>
      </c>
      <c r="D4" t="s">
        <v>488</v>
      </c>
    </row>
    <row r="5" spans="1:5" x14ac:dyDescent="0.35">
      <c r="A5" s="1">
        <v>46026</v>
      </c>
      <c r="B5" t="s">
        <v>8</v>
      </c>
      <c r="C5" t="s">
        <v>489</v>
      </c>
      <c r="D5" t="s">
        <v>490</v>
      </c>
    </row>
    <row r="6" spans="1:5" x14ac:dyDescent="0.35">
      <c r="A6" s="1">
        <v>46026</v>
      </c>
      <c r="B6" t="s">
        <v>1</v>
      </c>
      <c r="C6" t="s">
        <v>491</v>
      </c>
      <c r="D6" t="s">
        <v>492</v>
      </c>
    </row>
    <row r="7" spans="1:5" x14ac:dyDescent="0.35">
      <c r="A7" s="1">
        <v>46028</v>
      </c>
      <c r="B7" t="s">
        <v>374</v>
      </c>
      <c r="C7" t="s">
        <v>493</v>
      </c>
      <c r="D7" t="s">
        <v>494</v>
      </c>
    </row>
    <row r="8" spans="1:5" x14ac:dyDescent="0.35">
      <c r="A8" s="1">
        <v>46028</v>
      </c>
      <c r="B8" t="s">
        <v>495</v>
      </c>
      <c r="C8" t="s">
        <v>496</v>
      </c>
      <c r="D8" t="s">
        <v>485</v>
      </c>
      <c r="E8" t="s">
        <v>497</v>
      </c>
    </row>
    <row r="9" spans="1:5" x14ac:dyDescent="0.35">
      <c r="A9" s="1">
        <v>46029</v>
      </c>
      <c r="B9">
        <v>9</v>
      </c>
      <c r="C9" t="s">
        <v>498</v>
      </c>
      <c r="D9" t="s">
        <v>485</v>
      </c>
      <c r="E9" t="s">
        <v>499</v>
      </c>
    </row>
    <row r="10" spans="1:5" x14ac:dyDescent="0.35">
      <c r="A10" s="1">
        <v>46029</v>
      </c>
      <c r="B10">
        <v>6</v>
      </c>
      <c r="C10" t="s">
        <v>498</v>
      </c>
      <c r="D10" t="s">
        <v>485</v>
      </c>
      <c r="E10" t="s">
        <v>499</v>
      </c>
    </row>
    <row r="11" spans="1:5" x14ac:dyDescent="0.35">
      <c r="A11" s="1">
        <v>46029</v>
      </c>
      <c r="B11">
        <v>54</v>
      </c>
      <c r="C11" t="s">
        <v>498</v>
      </c>
      <c r="D11" t="s">
        <v>485</v>
      </c>
      <c r="E11" t="s">
        <v>499</v>
      </c>
    </row>
    <row r="12" spans="1:5" x14ac:dyDescent="0.35">
      <c r="A12" s="1">
        <v>46029</v>
      </c>
      <c r="B12" t="s">
        <v>2</v>
      </c>
      <c r="C12" t="s">
        <v>500</v>
      </c>
      <c r="D12" t="s">
        <v>501</v>
      </c>
    </row>
    <row r="13" spans="1:5" x14ac:dyDescent="0.35">
      <c r="A13" s="1">
        <v>46029</v>
      </c>
      <c r="B13" t="s">
        <v>502</v>
      </c>
      <c r="C13" t="s">
        <v>503</v>
      </c>
      <c r="D13" t="s">
        <v>504</v>
      </c>
    </row>
    <row r="14" spans="1:5" x14ac:dyDescent="0.35">
      <c r="A14" s="1">
        <v>46029</v>
      </c>
      <c r="B14" t="s">
        <v>505</v>
      </c>
      <c r="C14" t="s">
        <v>506</v>
      </c>
      <c r="D14" t="s">
        <v>507</v>
      </c>
    </row>
    <row r="15" spans="1:5" x14ac:dyDescent="0.35">
      <c r="A15" s="1">
        <v>46030</v>
      </c>
      <c r="B15">
        <v>64</v>
      </c>
      <c r="C15" t="s">
        <v>508</v>
      </c>
      <c r="D15" t="s">
        <v>485</v>
      </c>
      <c r="E15" t="s">
        <v>509</v>
      </c>
    </row>
    <row r="16" spans="1:5" x14ac:dyDescent="0.35">
      <c r="A16" s="1">
        <v>46030</v>
      </c>
      <c r="B16" t="s">
        <v>374</v>
      </c>
      <c r="C16" t="s">
        <v>510</v>
      </c>
      <c r="D16" t="s">
        <v>511</v>
      </c>
      <c r="E16" t="s">
        <v>512</v>
      </c>
    </row>
    <row r="17" spans="1:5" x14ac:dyDescent="0.35">
      <c r="A17" s="1">
        <v>46030</v>
      </c>
      <c r="B17" t="s">
        <v>513</v>
      </c>
      <c r="C17" t="s">
        <v>514</v>
      </c>
      <c r="D17" t="s">
        <v>515</v>
      </c>
    </row>
    <row r="18" spans="1:5" x14ac:dyDescent="0.35">
      <c r="A18" s="1">
        <v>46030</v>
      </c>
      <c r="B18" t="s">
        <v>516</v>
      </c>
      <c r="C18" t="s">
        <v>517</v>
      </c>
      <c r="D18" t="s">
        <v>518</v>
      </c>
    </row>
    <row r="19" spans="1:5" x14ac:dyDescent="0.35">
      <c r="A19" s="1">
        <v>46033</v>
      </c>
      <c r="B19" t="s">
        <v>379</v>
      </c>
      <c r="C19" t="s">
        <v>519</v>
      </c>
      <c r="D19" t="s">
        <v>520</v>
      </c>
    </row>
    <row r="20" spans="1:5" x14ac:dyDescent="0.35">
      <c r="A20" s="1">
        <v>46033</v>
      </c>
      <c r="B20">
        <v>2</v>
      </c>
      <c r="C20" t="s">
        <v>521</v>
      </c>
      <c r="D20" t="s">
        <v>485</v>
      </c>
      <c r="E20" t="s">
        <v>522</v>
      </c>
    </row>
    <row r="21" spans="1:5" x14ac:dyDescent="0.35">
      <c r="A21" s="1">
        <v>46033</v>
      </c>
      <c r="B21" t="s">
        <v>523</v>
      </c>
      <c r="C21" t="s">
        <v>524</v>
      </c>
      <c r="D21" t="s">
        <v>525</v>
      </c>
    </row>
    <row r="22" spans="1:5" x14ac:dyDescent="0.35">
      <c r="A22" s="13">
        <v>46036</v>
      </c>
      <c r="B22" s="9" t="s">
        <v>526</v>
      </c>
      <c r="C22" s="9" t="s">
        <v>527</v>
      </c>
      <c r="D22" s="9" t="s">
        <v>528</v>
      </c>
      <c r="E22" s="9" t="s">
        <v>529</v>
      </c>
    </row>
    <row r="23" spans="1:5" x14ac:dyDescent="0.35">
      <c r="A23" s="13">
        <v>46037</v>
      </c>
      <c r="B23" s="9" t="s">
        <v>530</v>
      </c>
      <c r="C23" s="9" t="s">
        <v>531</v>
      </c>
      <c r="D23" s="9" t="s">
        <v>532</v>
      </c>
      <c r="E23" s="9" t="s">
        <v>533</v>
      </c>
    </row>
    <row r="24" spans="1:5" x14ac:dyDescent="0.35">
      <c r="A24" s="1">
        <v>46037</v>
      </c>
      <c r="B24" t="s">
        <v>534</v>
      </c>
      <c r="C24" t="s">
        <v>535</v>
      </c>
      <c r="D24" t="s">
        <v>536</v>
      </c>
      <c r="E24" t="s">
        <v>537</v>
      </c>
    </row>
    <row r="25" spans="1:5" x14ac:dyDescent="0.35">
      <c r="A25" s="1">
        <v>46038</v>
      </c>
      <c r="B25" t="s">
        <v>538</v>
      </c>
      <c r="C25" t="s">
        <v>539</v>
      </c>
      <c r="D25" t="s">
        <v>540</v>
      </c>
      <c r="E25" t="s">
        <v>541</v>
      </c>
    </row>
    <row r="26" spans="1:5" x14ac:dyDescent="0.35">
      <c r="A26" s="1">
        <v>46038</v>
      </c>
      <c r="B26" t="s">
        <v>542</v>
      </c>
      <c r="C26" t="s">
        <v>543</v>
      </c>
      <c r="D26" t="s">
        <v>544</v>
      </c>
      <c r="E26" t="s">
        <v>545</v>
      </c>
    </row>
    <row r="27" spans="1:5" x14ac:dyDescent="0.35">
      <c r="A27" s="1">
        <v>46038</v>
      </c>
      <c r="B27" t="s">
        <v>546</v>
      </c>
      <c r="C27" t="s">
        <v>547</v>
      </c>
      <c r="D27" t="s">
        <v>548</v>
      </c>
      <c r="E27" t="s">
        <v>549</v>
      </c>
    </row>
    <row r="28" spans="1:5" x14ac:dyDescent="0.35">
      <c r="A28" s="1">
        <v>46038</v>
      </c>
      <c r="B28" t="s">
        <v>550</v>
      </c>
      <c r="C28" t="s">
        <v>551</v>
      </c>
      <c r="D28" t="s">
        <v>552</v>
      </c>
      <c r="E28" t="s">
        <v>553</v>
      </c>
    </row>
    <row r="29" spans="1:5" x14ac:dyDescent="0.35">
      <c r="A29" s="1">
        <v>46038</v>
      </c>
      <c r="B29" t="s">
        <v>554</v>
      </c>
      <c r="C29" t="s">
        <v>555</v>
      </c>
      <c r="D29" t="s">
        <v>556</v>
      </c>
      <c r="E29" t="s">
        <v>557</v>
      </c>
    </row>
    <row r="30" spans="1:5" x14ac:dyDescent="0.35">
      <c r="A30" s="13">
        <v>46038</v>
      </c>
      <c r="B30" s="9" t="s">
        <v>558</v>
      </c>
      <c r="C30" s="9" t="s">
        <v>559</v>
      </c>
      <c r="D30" s="9" t="s">
        <v>560</v>
      </c>
      <c r="E30" s="9" t="s">
        <v>561</v>
      </c>
    </row>
    <row r="31" spans="1:5" x14ac:dyDescent="0.35">
      <c r="A31" s="1">
        <v>46038</v>
      </c>
      <c r="B31" t="s">
        <v>562</v>
      </c>
      <c r="C31" t="s">
        <v>563</v>
      </c>
      <c r="D31" t="s">
        <v>564</v>
      </c>
      <c r="E31" t="s">
        <v>565</v>
      </c>
    </row>
    <row r="32" spans="1:5" x14ac:dyDescent="0.35">
      <c r="A32" s="1">
        <v>46038</v>
      </c>
      <c r="B32" t="s">
        <v>562</v>
      </c>
      <c r="C32" t="s">
        <v>566</v>
      </c>
      <c r="D32" t="s">
        <v>567</v>
      </c>
      <c r="E32" t="s">
        <v>568</v>
      </c>
    </row>
    <row r="33" spans="1:5" x14ac:dyDescent="0.35">
      <c r="A33" s="1">
        <v>46038</v>
      </c>
      <c r="B33" t="s">
        <v>569</v>
      </c>
      <c r="C33" t="s">
        <v>570</v>
      </c>
      <c r="D33" t="s">
        <v>571</v>
      </c>
      <c r="E33" t="s">
        <v>572</v>
      </c>
    </row>
    <row r="34" spans="1:5" x14ac:dyDescent="0.35">
      <c r="A34" s="1">
        <v>46038</v>
      </c>
      <c r="B34" t="s">
        <v>573</v>
      </c>
      <c r="C34" t="s">
        <v>574</v>
      </c>
      <c r="D34" t="s">
        <v>575</v>
      </c>
      <c r="E34" t="s">
        <v>576</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tabColor rgb="FF00B0F0"/>
  </sheetPr>
  <dimension ref="A1:H11"/>
  <sheetViews>
    <sheetView workbookViewId="0"/>
  </sheetViews>
  <sheetFormatPr defaultRowHeight="14.5" x14ac:dyDescent="0.35"/>
  <cols>
    <col min="1" max="1" width="16" customWidth="1"/>
    <col min="2" max="5" width="12" customWidth="1"/>
    <col min="6" max="6" width="20" customWidth="1"/>
    <col min="7" max="7" width="45" customWidth="1"/>
  </cols>
  <sheetData>
    <row r="1" spans="1:8" x14ac:dyDescent="0.35">
      <c r="A1" t="s">
        <v>577</v>
      </c>
    </row>
    <row r="2" spans="1:8" x14ac:dyDescent="0.35">
      <c r="A2" t="s">
        <v>578</v>
      </c>
      <c r="B2" t="s">
        <v>579</v>
      </c>
    </row>
    <row r="3" spans="1:8" x14ac:dyDescent="0.35">
      <c r="A3" t="s">
        <v>580</v>
      </c>
      <c r="B3" t="s">
        <v>581</v>
      </c>
    </row>
    <row r="4" spans="1:8" x14ac:dyDescent="0.35">
      <c r="A4" t="s">
        <v>582</v>
      </c>
      <c r="B4" t="s">
        <v>583</v>
      </c>
    </row>
    <row r="6" spans="1:8" x14ac:dyDescent="0.35">
      <c r="A6" s="9" t="s">
        <v>1</v>
      </c>
      <c r="B6" s="9" t="s">
        <v>584</v>
      </c>
      <c r="C6" s="9" t="s">
        <v>585</v>
      </c>
      <c r="D6" s="9" t="s">
        <v>586</v>
      </c>
      <c r="E6" s="9" t="s">
        <v>587</v>
      </c>
      <c r="F6" s="9" t="s">
        <v>588</v>
      </c>
      <c r="G6" s="9" t="s">
        <v>589</v>
      </c>
      <c r="H6" t="s">
        <v>590</v>
      </c>
    </row>
    <row r="7" spans="1:8" x14ac:dyDescent="0.35">
      <c r="A7" t="s">
        <v>591</v>
      </c>
      <c r="B7" s="22">
        <v>0.25</v>
      </c>
      <c r="C7" s="22">
        <v>0.25</v>
      </c>
      <c r="D7" s="22">
        <v>0.25</v>
      </c>
      <c r="E7" s="22">
        <f>IF(COUNT(B7:D7)&lt;3,"",1-SUM(B7:D7))</f>
        <v>0.25</v>
      </c>
      <c r="F7" s="23">
        <f>IF($H$7=0,IFERROR(AVERAGEIFS('Cleaned - Video Game Data'!$U$2:$U$200,'Cleaned - Video Game Data'!$AB$2:$AB$200,0,'Cleaned - Video Game Data'!$U$2:$U$200,"&gt;0"),1),IFERROR((SUMIFS('Cleaned - Video Game Data'!$U$2:INDEX('Cleaned - Video Game Data'!$U:$U,$H$7-1),'Cleaned - Video Game Data'!$AB$2:INDEX('Cleaned - Video Game Data'!$AB:$AB,$H$7-1),0,'Cleaned - Video Game Data'!$U$2:INDEX('Cleaned - Video Game Data'!$U:$U,$H$7-1),"&gt;0")+SUMIFS(INDEX('Cleaned - Video Game Data'!$U:$U,$H$7+1):'Cleaned - Video Game Data'!$U$200,INDEX('Cleaned - Video Game Data'!$AB:$AB,$H$7+1):'Cleaned - Video Game Data'!$AB$200,0,INDEX('Cleaned - Video Game Data'!$U:$U,$H$7+1):'Cleaned - Video Game Data'!$U$200,"&gt;0"))/(COUNTIFS('Cleaned - Video Game Data'!$AB$2:INDEX('Cleaned - Video Game Data'!$AB:$AB,$H$7-1),0,'Cleaned - Video Game Data'!$U$2:INDEX('Cleaned - Video Game Data'!$U:$U,$H$7-1),"&gt;0")+COUNTIFS(INDEX('Cleaned - Video Game Data'!$AB:$AB,$H$7+1):'Cleaned - Video Game Data'!$AB$200,0,INDEX('Cleaned - Video Game Data'!$U:$U,$H$7+1):'Cleaned - Video Game Data'!$U$200,"&gt;0")),1))</f>
        <v>0.99398170330571523</v>
      </c>
      <c r="G7" t="s">
        <v>592</v>
      </c>
      <c r="H7">
        <f>IFERROR(MATCH("Nintendo Switch 2",'Cleaned - Video Game Data'!$A:$A,0),0)</f>
        <v>28</v>
      </c>
    </row>
    <row r="8" spans="1:8" x14ac:dyDescent="0.35">
      <c r="A8" t="s">
        <v>12</v>
      </c>
      <c r="B8" s="22">
        <v>0.25</v>
      </c>
      <c r="C8" s="22">
        <v>0.25</v>
      </c>
      <c r="D8" s="22">
        <v>0.25</v>
      </c>
      <c r="E8" s="22">
        <f>IF(COUNT(B8:D8)&lt;3,"",1-SUM(B8:D8))</f>
        <v>0.25</v>
      </c>
      <c r="F8" s="23">
        <f>IF($H$7=0,IFERROR(AVERAGEIFS('Cleaned - Video Game Data'!$U$2:$U$200,'Cleaned - Video Game Data'!$B$2:$B$200,A8,'Cleaned - Video Game Data'!$AB$2:$AB$200,0,'Cleaned - Video Game Data'!$U$2:$U$200,"&gt;0"),$F$7),IFERROR((SUMIFS('Cleaned - Video Game Data'!$U$2:INDEX('Cleaned - Video Game Data'!$U:$U,$H$7-1),'Cleaned - Video Game Data'!$B$2:INDEX('Cleaned - Video Game Data'!$B:$B,$H$7-1),A8,'Cleaned - Video Game Data'!$AB$2:INDEX('Cleaned - Video Game Data'!$AB:$AB,$H$7-1),0,'Cleaned - Video Game Data'!$U$2:INDEX('Cleaned - Video Game Data'!$U:$U,$H$7-1),"&gt;0")+SUMIFS(INDEX('Cleaned - Video Game Data'!$U:$U,$H$7+1):'Cleaned - Video Game Data'!$U$200,INDEX('Cleaned - Video Game Data'!$B:$B,$H$7+1):'Cleaned - Video Game Data'!$B$200,A8,INDEX('Cleaned - Video Game Data'!$AB:$AB,$H$7+1):'Cleaned - Video Game Data'!$AB$200,0,INDEX('Cleaned - Video Game Data'!$U:$U,$H$7+1):'Cleaned - Video Game Data'!$U$200,"&gt;0"))/(COUNTIFS('Cleaned - Video Game Data'!$B$2:INDEX('Cleaned - Video Game Data'!$B:$B,$H$7-1),A8,'Cleaned - Video Game Data'!$AB$2:INDEX('Cleaned - Video Game Data'!$AB:$AB,$H$7-1),0,'Cleaned - Video Game Data'!$U$2:INDEX('Cleaned - Video Game Data'!$U:$U,$H$7-1),"&gt;0")+COUNTIFS(INDEX('Cleaned - Video Game Data'!$B:$B,$H$7+1):'Cleaned - Video Game Data'!$B$200,A8,INDEX('Cleaned - Video Game Data'!$AB:$AB,$H$7+1):'Cleaned - Video Game Data'!$AB$200,0,INDEX('Cleaned - Video Game Data'!$U:$U,$H$7+1):'Cleaned - Video Game Data'!$U$200,"&gt;0")),$F$7))</f>
        <v>0.99906108931142479</v>
      </c>
      <c r="G8" t="s">
        <v>593</v>
      </c>
    </row>
    <row r="9" spans="1:8" x14ac:dyDescent="0.35">
      <c r="A9" t="s">
        <v>145</v>
      </c>
      <c r="B9" s="22">
        <v>0.25</v>
      </c>
      <c r="C9" s="22">
        <v>0.25</v>
      </c>
      <c r="D9" s="22">
        <v>0.25</v>
      </c>
      <c r="E9" s="22">
        <f>IF(COUNT(B9:D9)&lt;3,"",1-SUM(B9:D9))</f>
        <v>0.25</v>
      </c>
      <c r="F9" s="23">
        <f>IF($H$7=0,IFERROR(AVERAGEIFS('Cleaned - Video Game Data'!$U$2:$U$200,'Cleaned - Video Game Data'!$B$2:$B$200,A9,'Cleaned - Video Game Data'!$AB$2:$AB$200,0,'Cleaned - Video Game Data'!$U$2:$U$200,"&gt;0"),$F$7),IFERROR((SUMIFS('Cleaned - Video Game Data'!$U$2:INDEX('Cleaned - Video Game Data'!$U:$U,$H$7-1),'Cleaned - Video Game Data'!$B$2:INDEX('Cleaned - Video Game Data'!$B:$B,$H$7-1),A9,'Cleaned - Video Game Data'!$AB$2:INDEX('Cleaned - Video Game Data'!$AB:$AB,$H$7-1),0,'Cleaned - Video Game Data'!$U$2:INDEX('Cleaned - Video Game Data'!$U:$U,$H$7-1),"&gt;0")+SUMIFS(INDEX('Cleaned - Video Game Data'!$U:$U,$H$7+1):'Cleaned - Video Game Data'!$U$200,INDEX('Cleaned - Video Game Data'!$B:$B,$H$7+1):'Cleaned - Video Game Data'!$B$200,A9,INDEX('Cleaned - Video Game Data'!$AB:$AB,$H$7+1):'Cleaned - Video Game Data'!$AB$200,0,INDEX('Cleaned - Video Game Data'!$U:$U,$H$7+1):'Cleaned - Video Game Data'!$U$200,"&gt;0"))/(COUNTIFS('Cleaned - Video Game Data'!$B$2:INDEX('Cleaned - Video Game Data'!$B:$B,$H$7-1),A9,'Cleaned - Video Game Data'!$AB$2:INDEX('Cleaned - Video Game Data'!$AB:$AB,$H$7-1),0,'Cleaned - Video Game Data'!$U$2:INDEX('Cleaned - Video Game Data'!$U:$U,$H$7-1),"&gt;0")+COUNTIFS(INDEX('Cleaned - Video Game Data'!$B:$B,$H$7+1):'Cleaned - Video Game Data'!$B$200,A9,INDEX('Cleaned - Video Game Data'!$AB:$AB,$H$7+1):'Cleaned - Video Game Data'!$AB$200,0,INDEX('Cleaned - Video Game Data'!$U:$U,$H$7+1):'Cleaned - Video Game Data'!$U$200,"&gt;0")),$F$7))</f>
        <v>1.0020354296279648</v>
      </c>
      <c r="G9" t="s">
        <v>593</v>
      </c>
    </row>
    <row r="10" spans="1:8" x14ac:dyDescent="0.35">
      <c r="A10" t="s">
        <v>232</v>
      </c>
      <c r="B10" s="22">
        <v>0.25</v>
      </c>
      <c r="C10" s="22">
        <v>0.25</v>
      </c>
      <c r="D10" s="22">
        <v>0.25</v>
      </c>
      <c r="E10" s="22">
        <f>IF(COUNT(B10:D10)&lt;3,"",1-SUM(B10:D10))</f>
        <v>0.25</v>
      </c>
      <c r="F10" s="23">
        <f>IF($H$7=0,IFERROR(AVERAGEIFS('Cleaned - Video Game Data'!$U$2:$U$200,'Cleaned - Video Game Data'!$B$2:$B$200,A10,'Cleaned - Video Game Data'!$AB$2:$AB$200,0,'Cleaned - Video Game Data'!$U$2:$U$200,"&gt;0"),$F$7),IFERROR((SUMIFS('Cleaned - Video Game Data'!$U$2:INDEX('Cleaned - Video Game Data'!$U:$U,$H$7-1),'Cleaned - Video Game Data'!$B$2:INDEX('Cleaned - Video Game Data'!$B:$B,$H$7-1),A10,'Cleaned - Video Game Data'!$AB$2:INDEX('Cleaned - Video Game Data'!$AB:$AB,$H$7-1),0,'Cleaned - Video Game Data'!$U$2:INDEX('Cleaned - Video Game Data'!$U:$U,$H$7-1),"&gt;0")+SUMIFS(INDEX('Cleaned - Video Game Data'!$U:$U,$H$7+1):'Cleaned - Video Game Data'!$U$200,INDEX('Cleaned - Video Game Data'!$B:$B,$H$7+1):'Cleaned - Video Game Data'!$B$200,A10,INDEX('Cleaned - Video Game Data'!$AB:$AB,$H$7+1):'Cleaned - Video Game Data'!$AB$200,0,INDEX('Cleaned - Video Game Data'!$U:$U,$H$7+1):'Cleaned - Video Game Data'!$U$200,"&gt;0"))/(COUNTIFS('Cleaned - Video Game Data'!$B$2:INDEX('Cleaned - Video Game Data'!$B:$B,$H$7-1),A10,'Cleaned - Video Game Data'!$AB$2:INDEX('Cleaned - Video Game Data'!$AB:$AB,$H$7-1),0,'Cleaned - Video Game Data'!$U$2:INDEX('Cleaned - Video Game Data'!$U:$U,$H$7-1),"&gt;0")+COUNTIFS(INDEX('Cleaned - Video Game Data'!$B:$B,$H$7+1):'Cleaned - Video Game Data'!$B$200,A10,INDEX('Cleaned - Video Game Data'!$AB:$AB,$H$7+1):'Cleaned - Video Game Data'!$AB$200,0,INDEX('Cleaned - Video Game Data'!$U:$U,$H$7+1):'Cleaned - Video Game Data'!$U$200,"&gt;0")),$F$7))</f>
        <v>0.96418338108882518</v>
      </c>
      <c r="G10" t="s">
        <v>593</v>
      </c>
    </row>
    <row r="11" spans="1:8" x14ac:dyDescent="0.35">
      <c r="A11" t="s">
        <v>282</v>
      </c>
      <c r="B11" s="22">
        <v>0.25</v>
      </c>
      <c r="C11" s="22">
        <v>0.25</v>
      </c>
      <c r="D11" s="22">
        <v>0.25</v>
      </c>
      <c r="E11" s="22">
        <f>IF(COUNT(B11:D11)&lt;3,"",1-SUM(B11:D11))</f>
        <v>0.25</v>
      </c>
      <c r="F11" s="23">
        <f>IF($H$7=0,IFERROR(AVERAGEIFS('Cleaned - Video Game Data'!$U$2:$U$200,'Cleaned - Video Game Data'!$B$2:$B$200,A11,'Cleaned - Video Game Data'!$AB$2:$AB$200,0,'Cleaned - Video Game Data'!$U$2:$U$200,"&gt;0"),$F$7),IFERROR((SUMIFS('Cleaned - Video Game Data'!$U$2:INDEX('Cleaned - Video Game Data'!$U:$U,$H$7-1),'Cleaned - Video Game Data'!$B$2:INDEX('Cleaned - Video Game Data'!$B:$B,$H$7-1),A11,'Cleaned - Video Game Data'!$AB$2:INDEX('Cleaned - Video Game Data'!$AB:$AB,$H$7-1),0,'Cleaned - Video Game Data'!$U$2:INDEX('Cleaned - Video Game Data'!$U:$U,$H$7-1),"&gt;0")+SUMIFS(INDEX('Cleaned - Video Game Data'!$U:$U,$H$7+1):'Cleaned - Video Game Data'!$U$200,INDEX('Cleaned - Video Game Data'!$B:$B,$H$7+1):'Cleaned - Video Game Data'!$B$200,A11,INDEX('Cleaned - Video Game Data'!$AB:$AB,$H$7+1):'Cleaned - Video Game Data'!$AB$200,0,INDEX('Cleaned - Video Game Data'!$U:$U,$H$7+1):'Cleaned - Video Game Data'!$U$200,"&gt;0"))/(COUNTIFS('Cleaned - Video Game Data'!$B$2:INDEX('Cleaned - Video Game Data'!$B:$B,$H$7-1),A11,'Cleaned - Video Game Data'!$AB$2:INDEX('Cleaned - Video Game Data'!$AB:$AB,$H$7-1),0,'Cleaned - Video Game Data'!$U$2:INDEX('Cleaned - Video Game Data'!$U:$U,$H$7-1),"&gt;0")+COUNTIFS(INDEX('Cleaned - Video Game Data'!$B:$B,$H$7+1):'Cleaned - Video Game Data'!$B$200,A11,INDEX('Cleaned - Video Game Data'!$AB:$AB,$H$7+1):'Cleaned - Video Game Data'!$AB$200,0,INDEX('Cleaned - Video Game Data'!$U:$U,$H$7+1):'Cleaned - Video Game Data'!$U$200,"&gt;0")),$F$7))</f>
        <v>0.99773112452352941</v>
      </c>
      <c r="G11" t="s">
        <v>593</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Original _Video Game Data</vt:lpstr>
      <vt:lpstr>Cleaned - Video Game Data</vt:lpstr>
      <vt:lpstr>Pivot Tables</vt:lpstr>
      <vt:lpstr>Dashboard</vt:lpstr>
      <vt:lpstr>Change Log</vt:lpstr>
      <vt:lpstr>Regional Assumptions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Rattler, Arnisha</cp:lastModifiedBy>
  <dcterms:created xsi:type="dcterms:W3CDTF">2026-01-17T05:30:01Z</dcterms:created>
  <dcterms:modified xsi:type="dcterms:W3CDTF">2026-02-02T04:38:36Z</dcterms:modified>
</cp:coreProperties>
</file>